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60" windowWidth="13260" windowHeight="5880" activeTab="2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'25-город'!$A$1:$D$1013</definedName>
  </definedNames>
  <calcPr calcId="145621"/>
</workbook>
</file>

<file path=xl/calcChain.xml><?xml version="1.0" encoding="utf-8"?>
<calcChain xmlns="http://schemas.openxmlformats.org/spreadsheetml/2006/main">
  <c r="D969" i="13" l="1"/>
  <c r="G1534" i="12"/>
  <c r="G1538" i="12"/>
  <c r="G1536" i="12"/>
  <c r="G1521" i="12"/>
  <c r="G1428" i="12"/>
  <c r="G1406" i="12"/>
  <c r="G1384" i="12"/>
  <c r="G1297" i="12"/>
  <c r="G1289" i="12"/>
  <c r="G1188" i="12"/>
  <c r="G1184" i="12"/>
  <c r="G1023" i="12"/>
  <c r="G1021" i="12"/>
  <c r="G994" i="12"/>
  <c r="G938" i="12"/>
  <c r="G882" i="12"/>
  <c r="G809" i="12"/>
  <c r="G807" i="12"/>
  <c r="G805" i="12"/>
  <c r="G803" i="12"/>
  <c r="G801" i="12"/>
  <c r="G799" i="12"/>
  <c r="G797" i="12"/>
  <c r="G795" i="12"/>
  <c r="G793" i="12"/>
  <c r="G791" i="12"/>
  <c r="G733" i="12"/>
  <c r="G727" i="12"/>
  <c r="G694" i="12"/>
  <c r="G666" i="12"/>
  <c r="G649" i="12"/>
  <c r="G648" i="12"/>
  <c r="G646" i="12"/>
  <c r="G645" i="12"/>
  <c r="G614" i="12"/>
  <c r="G610" i="12"/>
  <c r="G591" i="12"/>
  <c r="G590" i="12"/>
  <c r="G589" i="12"/>
  <c r="G585" i="12"/>
  <c r="G553" i="12"/>
  <c r="G552" i="12"/>
  <c r="G526" i="12"/>
  <c r="G524" i="12"/>
  <c r="G523" i="12"/>
  <c r="G518" i="12"/>
  <c r="G517" i="12"/>
  <c r="G338" i="12"/>
  <c r="G336" i="12"/>
  <c r="G318" i="12"/>
  <c r="G305" i="12"/>
  <c r="G300" i="12"/>
  <c r="G289" i="12"/>
  <c r="G266" i="12"/>
  <c r="G258" i="12"/>
  <c r="G231" i="12"/>
  <c r="G189" i="12"/>
  <c r="G188" i="12"/>
  <c r="G111" i="12"/>
  <c r="G109" i="12"/>
  <c r="G91" i="12"/>
  <c r="G90" i="12"/>
  <c r="G89" i="12"/>
  <c r="G88" i="12"/>
  <c r="G47" i="12"/>
  <c r="G46" i="12"/>
  <c r="G45" i="12"/>
  <c r="G44" i="12"/>
  <c r="G32" i="12"/>
  <c r="DN89" i="12" l="1"/>
  <c r="DN189" i="12"/>
  <c r="DN44" i="12"/>
  <c r="DN1570" i="12" l="1"/>
  <c r="DN610" i="12"/>
  <c r="DN523" i="12"/>
  <c r="D882" i="13"/>
  <c r="G588" i="12"/>
  <c r="DN994" i="12"/>
  <c r="D550" i="13"/>
  <c r="G932" i="12"/>
  <c r="DN1289" i="12"/>
  <c r="G692" i="12"/>
  <c r="DN1297" i="12"/>
  <c r="DN88" i="12"/>
  <c r="DN32" i="12"/>
  <c r="DN90" i="12"/>
  <c r="DN45" i="12"/>
  <c r="DN47" i="12"/>
  <c r="G1267" i="12" l="1"/>
  <c r="G1259" i="12"/>
  <c r="G1257" i="12"/>
  <c r="G369" i="12"/>
  <c r="G367" i="12"/>
  <c r="G253" i="12"/>
  <c r="G250" i="12"/>
  <c r="G133" i="12"/>
  <c r="G130" i="12"/>
  <c r="G117" i="12"/>
  <c r="G116" i="12"/>
  <c r="DM1570" i="12"/>
  <c r="G534" i="12" l="1"/>
  <c r="G513" i="12"/>
  <c r="G512" i="12"/>
  <c r="G503" i="12"/>
  <c r="G399" i="12"/>
  <c r="G299" i="12"/>
  <c r="G290" i="12"/>
  <c r="G60" i="12"/>
  <c r="G37" i="12"/>
  <c r="DL1570" i="12"/>
  <c r="DK1570" i="12"/>
  <c r="G933" i="12" l="1"/>
  <c r="DJ1570" i="12" l="1"/>
  <c r="G1239" i="12"/>
  <c r="G715" i="12"/>
  <c r="DJ524" i="12"/>
  <c r="D965" i="13"/>
  <c r="D964" i="13" s="1"/>
  <c r="G925" i="12"/>
  <c r="G926" i="12"/>
  <c r="G922" i="12" l="1"/>
  <c r="G143" i="12" l="1"/>
  <c r="G145" i="12"/>
  <c r="G144" i="12"/>
  <c r="G1523" i="12" l="1"/>
  <c r="G1426" i="12"/>
  <c r="G1291" i="12"/>
  <c r="G1190" i="12"/>
  <c r="G659" i="12"/>
  <c r="G658" i="12" s="1"/>
  <c r="G651" i="12"/>
  <c r="G601" i="12"/>
  <c r="G594" i="12"/>
  <c r="G555" i="12"/>
  <c r="G532" i="12"/>
  <c r="G528" i="12"/>
  <c r="G501" i="12"/>
  <c r="G397" i="12"/>
  <c r="D865" i="13" s="1"/>
  <c r="G393" i="12"/>
  <c r="G370" i="12"/>
  <c r="G365" i="12"/>
  <c r="G321" i="12"/>
  <c r="G293" i="12"/>
  <c r="G263" i="12"/>
  <c r="G262" i="12"/>
  <c r="G260" i="12"/>
  <c r="G35" i="12"/>
  <c r="D471" i="13"/>
  <c r="D204" i="13" l="1"/>
  <c r="D201" i="13"/>
  <c r="G261" i="12"/>
  <c r="DI50" i="12"/>
  <c r="DI190" i="12"/>
  <c r="G190" i="12" s="1"/>
  <c r="DI91" i="12"/>
  <c r="G50" i="12" l="1"/>
  <c r="DI1570" i="12"/>
  <c r="G499" i="12"/>
  <c r="G1560" i="12" l="1"/>
  <c r="G1120" i="12"/>
  <c r="G1018" i="12"/>
  <c r="G942" i="12"/>
  <c r="DH1570" i="12"/>
  <c r="DH994" i="12"/>
  <c r="DC590" i="12" l="1"/>
  <c r="DC1428" i="12"/>
  <c r="DF89" i="12" l="1"/>
  <c r="DF45" i="12"/>
  <c r="G136" i="12" l="1"/>
  <c r="G102" i="12"/>
  <c r="G821" i="12" l="1"/>
  <c r="G1546" i="12"/>
  <c r="G1544" i="12"/>
  <c r="G1540" i="12"/>
  <c r="G964" i="12"/>
  <c r="G963" i="12" s="1"/>
  <c r="G962" i="12" s="1"/>
  <c r="G894" i="12"/>
  <c r="G829" i="12"/>
  <c r="G827" i="12"/>
  <c r="G825" i="12"/>
  <c r="G823" i="12"/>
  <c r="G819" i="12"/>
  <c r="G817" i="12"/>
  <c r="G815" i="12"/>
  <c r="G813" i="12"/>
  <c r="G811" i="12"/>
  <c r="G677" i="12"/>
  <c r="G332" i="12"/>
  <c r="G291" i="12"/>
  <c r="DG1570" i="12"/>
  <c r="DF610" i="12"/>
  <c r="DF994" i="12" l="1"/>
  <c r="DF1521" i="12"/>
  <c r="DF447" i="12"/>
  <c r="DF1570" i="12"/>
  <c r="G1516" i="12" l="1"/>
  <c r="D368" i="13" s="1"/>
  <c r="G1130" i="12"/>
  <c r="G71" i="12"/>
  <c r="DE1570" i="12"/>
  <c r="D367" i="13" l="1"/>
  <c r="G1515" i="12"/>
  <c r="G1514" i="12" s="1"/>
  <c r="G1513" i="12" s="1"/>
  <c r="DC994" i="12"/>
  <c r="DC614" i="12"/>
  <c r="G1489" i="12"/>
  <c r="G1299" i="12"/>
  <c r="G831" i="12"/>
  <c r="G613" i="12"/>
  <c r="G462" i="12"/>
  <c r="G240" i="12"/>
  <c r="G82" i="12"/>
  <c r="G72" i="12"/>
  <c r="DD648" i="12"/>
  <c r="DD1570" i="12"/>
  <c r="DC90" i="12"/>
  <c r="DC45" i="12"/>
  <c r="DC1570" i="12" l="1"/>
  <c r="G949" i="12"/>
  <c r="G539" i="12"/>
  <c r="G382" i="12"/>
  <c r="G254" i="12"/>
  <c r="G251" i="12"/>
  <c r="D130" i="13"/>
  <c r="D129" i="13" s="1"/>
  <c r="DB1570" i="12"/>
  <c r="G81" i="12"/>
  <c r="DB375" i="12"/>
  <c r="G375" i="12" s="1"/>
  <c r="G569" i="12"/>
  <c r="CZ951" i="12"/>
  <c r="DA1259" i="12"/>
  <c r="DA1257" i="12"/>
  <c r="DA1570" i="12" l="1"/>
  <c r="G995" i="12" l="1"/>
  <c r="G951" i="12"/>
  <c r="G242" i="12"/>
  <c r="G236" i="12"/>
  <c r="G232" i="12"/>
  <c r="CZ1570" i="12"/>
  <c r="CZ994" i="12"/>
  <c r="CZ731" i="12"/>
  <c r="G731" i="12" s="1"/>
  <c r="CZ89" i="12"/>
  <c r="CZ45" i="12"/>
  <c r="CY610" i="12" l="1"/>
  <c r="G1147" i="12"/>
  <c r="D494" i="13" s="1"/>
  <c r="G176" i="12"/>
  <c r="CY175" i="12"/>
  <c r="G319" i="12"/>
  <c r="CY49" i="12"/>
  <c r="G49" i="12" s="1"/>
  <c r="G1277" i="12" l="1"/>
  <c r="D437" i="13" s="1"/>
  <c r="D436" i="13" s="1"/>
  <c r="D435" i="13" s="1"/>
  <c r="G729" i="12"/>
  <c r="G657" i="12"/>
  <c r="G175" i="12"/>
  <c r="G153" i="12"/>
  <c r="G1276" i="12"/>
  <c r="G1275" i="12" s="1"/>
  <c r="G1274" i="12" s="1"/>
  <c r="CY994" i="12"/>
  <c r="CY89" i="12"/>
  <c r="CY336" i="12" l="1"/>
  <c r="CY90" i="12"/>
  <c r="CY45" i="12"/>
  <c r="CY1570" i="12" s="1"/>
  <c r="CX911" i="12" l="1"/>
  <c r="CX590" i="12"/>
  <c r="CX44" i="12"/>
  <c r="G1512" i="12" l="1"/>
  <c r="G1462" i="12"/>
  <c r="G1461" i="12" s="1"/>
  <c r="G1458" i="12"/>
  <c r="G530" i="12"/>
  <c r="CX1570" i="12"/>
  <c r="CX882" i="12"/>
  <c r="CX953" i="12"/>
  <c r="G953" i="12" s="1"/>
  <c r="CX994" i="12"/>
  <c r="D433" i="13" l="1"/>
  <c r="D432" i="13" s="1"/>
  <c r="G154" i="12"/>
  <c r="G1285" i="12" l="1"/>
  <c r="G1284" i="12" s="1"/>
  <c r="G1400" i="12" l="1"/>
  <c r="G1296" i="12"/>
  <c r="G1295" i="12" s="1"/>
  <c r="G1186" i="12"/>
  <c r="G1007" i="12"/>
  <c r="D804" i="13" s="1"/>
  <c r="D803" i="13" s="1"/>
  <c r="D781" i="13"/>
  <c r="D780" i="13" s="1"/>
  <c r="G670" i="12"/>
  <c r="G668" i="12"/>
  <c r="G451" i="12"/>
  <c r="G201" i="12"/>
  <c r="G192" i="12"/>
  <c r="G131" i="12"/>
  <c r="G119" i="12"/>
  <c r="CW1570" i="12"/>
  <c r="CV1570" i="12"/>
  <c r="CV523" i="12"/>
  <c r="D289" i="13"/>
  <c r="G1006" i="12"/>
  <c r="CV727" i="12"/>
  <c r="CV994" i="12"/>
  <c r="G830" i="12" l="1"/>
  <c r="D556" i="13"/>
  <c r="D555" i="13" s="1"/>
  <c r="G931" i="12"/>
  <c r="D407" i="13" l="1"/>
  <c r="G366" i="12"/>
  <c r="G1396" i="12" l="1"/>
  <c r="G1395" i="12" s="1"/>
  <c r="G1394" i="12"/>
  <c r="D624" i="13" s="1"/>
  <c r="G1388" i="12"/>
  <c r="D732" i="13" s="1"/>
  <c r="D731" i="13" s="1"/>
  <c r="G1390" i="12"/>
  <c r="D736" i="13" s="1"/>
  <c r="D735" i="13" s="1"/>
  <c r="G1555" i="12"/>
  <c r="D626" i="13" s="1"/>
  <c r="G1553" i="12"/>
  <c r="D622" i="13" s="1"/>
  <c r="G1549" i="12"/>
  <c r="D620" i="13" s="1"/>
  <c r="D734" i="13"/>
  <c r="D733" i="13" s="1"/>
  <c r="D730" i="13"/>
  <c r="D728" i="13"/>
  <c r="G1545" i="12"/>
  <c r="G1554" i="12"/>
  <c r="G1552" i="12"/>
  <c r="G1067" i="12"/>
  <c r="D618" i="13" s="1"/>
  <c r="G1065" i="12"/>
  <c r="D616" i="13" s="1"/>
  <c r="G1044" i="12"/>
  <c r="D726" i="13" s="1"/>
  <c r="G1042" i="12"/>
  <c r="G1041" i="12" s="1"/>
  <c r="G852" i="12"/>
  <c r="D614" i="13" s="1"/>
  <c r="G850" i="12"/>
  <c r="D612" i="13" s="1"/>
  <c r="G848" i="12"/>
  <c r="D610" i="13" s="1"/>
  <c r="G846" i="12"/>
  <c r="D608" i="13" s="1"/>
  <c r="G844" i="12"/>
  <c r="D606" i="13" s="1"/>
  <c r="G842" i="12"/>
  <c r="D604" i="13" s="1"/>
  <c r="G840" i="12"/>
  <c r="D602" i="13" s="1"/>
  <c r="G838" i="12"/>
  <c r="D600" i="13" s="1"/>
  <c r="G836" i="12"/>
  <c r="D598" i="13" s="1"/>
  <c r="G834" i="12"/>
  <c r="D596" i="13" s="1"/>
  <c r="D722" i="13"/>
  <c r="D720" i="13"/>
  <c r="D718" i="13"/>
  <c r="D716" i="13"/>
  <c r="D714" i="13"/>
  <c r="D712" i="13"/>
  <c r="D710" i="13"/>
  <c r="D708" i="13"/>
  <c r="D706" i="13"/>
  <c r="D703" i="13"/>
  <c r="G851" i="12"/>
  <c r="G849" i="12"/>
  <c r="CU610" i="12"/>
  <c r="CU882" i="12"/>
  <c r="CU994" i="12"/>
  <c r="CU911" i="12"/>
  <c r="G911" i="12" s="1"/>
  <c r="D417" i="13"/>
  <c r="CU89" i="12"/>
  <c r="CU45" i="12"/>
  <c r="G33" i="12"/>
  <c r="D680" i="13"/>
  <c r="D676" i="13"/>
  <c r="D674" i="13"/>
  <c r="G1382" i="12"/>
  <c r="D678" i="13" s="1"/>
  <c r="D682" i="13"/>
  <c r="D672" i="13"/>
  <c r="D670" i="13"/>
  <c r="D549" i="13" l="1"/>
  <c r="D548" i="13" s="1"/>
  <c r="G1537" i="12"/>
  <c r="G1543" i="12"/>
  <c r="D628" i="13"/>
  <c r="D724" i="13"/>
  <c r="D668" i="13"/>
  <c r="D666" i="13"/>
  <c r="D664" i="13"/>
  <c r="D662" i="13"/>
  <c r="D660" i="13"/>
  <c r="D658" i="13"/>
  <c r="D656" i="13"/>
  <c r="D654" i="13"/>
  <c r="D652" i="13"/>
  <c r="D650" i="13"/>
  <c r="G148" i="12" l="1"/>
  <c r="G169" i="12"/>
  <c r="G1529" i="12" l="1"/>
  <c r="G1399" i="12"/>
  <c r="G736" i="12"/>
  <c r="G170" i="12"/>
  <c r="G147" i="12"/>
  <c r="D138" i="13" s="1"/>
  <c r="CU1570" i="12"/>
  <c r="CT1570" i="12"/>
  <c r="D139" i="13"/>
  <c r="D320" i="13" l="1"/>
  <c r="D319" i="13" s="1"/>
  <c r="D356" i="13" l="1"/>
  <c r="D355" i="13" s="1"/>
  <c r="G1511" i="12"/>
  <c r="G1492" i="12" l="1"/>
  <c r="G1491" i="12" s="1"/>
  <c r="D521" i="13"/>
  <c r="D520" i="13" s="1"/>
  <c r="D523" i="13"/>
  <c r="D522" i="13" s="1"/>
  <c r="G739" i="12"/>
  <c r="G741" i="12"/>
  <c r="D575" i="13"/>
  <c r="D574" i="13" s="1"/>
  <c r="D577" i="13"/>
  <c r="D576" i="13" s="1"/>
  <c r="G1100" i="12"/>
  <c r="G1098" i="12"/>
  <c r="D589" i="13"/>
  <c r="D587" i="13"/>
  <c r="CR610" i="12" l="1"/>
  <c r="CS590" i="12" l="1"/>
  <c r="CR733" i="12"/>
  <c r="G395" i="12" l="1"/>
  <c r="G1455" i="12"/>
  <c r="G1228" i="12"/>
  <c r="G1226" i="12"/>
  <c r="G748" i="12"/>
  <c r="G746" i="12"/>
  <c r="G738" i="12"/>
  <c r="G732" i="12"/>
  <c r="G730" i="12"/>
  <c r="G693" i="12"/>
  <c r="G682" i="12"/>
  <c r="G680" i="12"/>
  <c r="G678" i="12"/>
  <c r="G655" i="12"/>
  <c r="G611" i="12"/>
  <c r="G577" i="12"/>
  <c r="G560" i="12"/>
  <c r="G456" i="12"/>
  <c r="G449" i="12"/>
  <c r="G446" i="12"/>
  <c r="CS390" i="12"/>
  <c r="G390" i="12" s="1"/>
  <c r="G404" i="12"/>
  <c r="G374" i="12"/>
  <c r="G373" i="12" s="1"/>
  <c r="G364" i="12"/>
  <c r="G331" i="12"/>
  <c r="G310" i="12"/>
  <c r="G98" i="12"/>
  <c r="G52" i="12"/>
  <c r="CS1567" i="12"/>
  <c r="G1567" i="12" s="1"/>
  <c r="CS1289" i="12"/>
  <c r="CS1283" i="12"/>
  <c r="CS89" i="12"/>
  <c r="CS1521" i="12"/>
  <c r="CS1184" i="12"/>
  <c r="CS1188" i="12"/>
  <c r="CS45" i="12"/>
  <c r="CS259" i="12"/>
  <c r="G259" i="12" s="1"/>
  <c r="CS189" i="12"/>
  <c r="CS300" i="12"/>
  <c r="CS289" i="12"/>
  <c r="CS447" i="12"/>
  <c r="G447" i="12" s="1"/>
  <c r="CS391" i="12"/>
  <c r="G391" i="12" s="1"/>
  <c r="CS656" i="12"/>
  <c r="G656" i="12" s="1"/>
  <c r="CS553" i="12"/>
  <c r="CS649" i="12"/>
  <c r="CS524" i="12"/>
  <c r="G257" i="12" l="1"/>
  <c r="G1283" i="12"/>
  <c r="G1282" i="12" s="1"/>
  <c r="G1281" i="12" s="1"/>
  <c r="G187" i="12"/>
  <c r="CS290" i="12"/>
  <c r="CR590" i="12"/>
  <c r="CS90" i="12"/>
  <c r="CS1570" i="12"/>
  <c r="CR336" i="12"/>
  <c r="D968" i="13" l="1"/>
  <c r="G691" i="12"/>
  <c r="CR585" i="12"/>
  <c r="CR1137" i="12"/>
  <c r="G1137" i="12" s="1"/>
  <c r="G1136" i="12" s="1"/>
  <c r="CR666" i="12"/>
  <c r="CR524" i="12"/>
  <c r="CR994" i="12"/>
  <c r="D578" i="13"/>
  <c r="G952" i="12"/>
  <c r="D967" i="13" l="1"/>
  <c r="D966" i="13" s="1"/>
  <c r="D508" i="13"/>
  <c r="D507" i="13" s="1"/>
  <c r="D510" i="13"/>
  <c r="D509" i="13" s="1"/>
  <c r="CR727" i="12"/>
  <c r="D506" i="13" l="1"/>
  <c r="CR1570" i="12"/>
  <c r="CQ1483" i="12"/>
  <c r="G1483" i="12" s="1"/>
  <c r="CQ169" i="12"/>
  <c r="CQ153" i="12"/>
  <c r="CQ1108" i="12"/>
  <c r="G1108" i="12" s="1"/>
  <c r="CQ470" i="12"/>
  <c r="G470" i="12" s="1"/>
  <c r="CQ70" i="12" l="1"/>
  <c r="G70" i="12" s="1"/>
  <c r="CQ1570" i="12" l="1"/>
  <c r="CS1571" i="12" s="1"/>
  <c r="D136" i="13"/>
  <c r="D135" i="13"/>
  <c r="D134" i="13" l="1"/>
  <c r="D915" i="13"/>
  <c r="D914" i="13" s="1"/>
  <c r="G533" i="12"/>
  <c r="G502" i="12"/>
  <c r="G398" i="12"/>
  <c r="G36" i="12"/>
  <c r="CP523" i="12"/>
  <c r="CP994" i="12"/>
  <c r="CP1297" i="12"/>
  <c r="CP117" i="12"/>
  <c r="CP336" i="12"/>
  <c r="CP300" i="12"/>
  <c r="CP259" i="12"/>
  <c r="CO1570" i="12"/>
  <c r="D67" i="13"/>
  <c r="D66" i="13" s="1"/>
  <c r="G323" i="12"/>
  <c r="G317" i="12" s="1"/>
  <c r="CP1570" i="12" l="1"/>
  <c r="G115" i="12"/>
  <c r="D76" i="13"/>
  <c r="G146" i="12" l="1"/>
  <c r="CK1570" i="12"/>
  <c r="CL47" i="12"/>
  <c r="CL1570" i="12" s="1"/>
  <c r="CL263" i="12"/>
  <c r="D137" i="13"/>
  <c r="D798" i="13" l="1"/>
  <c r="G714" i="12"/>
  <c r="D79" i="13"/>
  <c r="CJ44" i="12"/>
  <c r="CJ610" i="12"/>
  <c r="CJ721" i="12"/>
  <c r="CJ994" i="12"/>
  <c r="CJ89" i="12"/>
  <c r="CJ45" i="12"/>
  <c r="CJ1570" i="12" l="1"/>
  <c r="CI1570" i="12"/>
  <c r="D405" i="13"/>
  <c r="D406" i="13"/>
  <c r="D408" i="13"/>
  <c r="D404" i="13" l="1"/>
  <c r="CH610" i="12"/>
  <c r="CH994" i="12" l="1"/>
  <c r="CH89" i="12"/>
  <c r="CH45" i="12"/>
  <c r="CH1570" i="12" s="1"/>
  <c r="D147" i="13"/>
  <c r="D146" i="13" s="1"/>
  <c r="G74" i="12"/>
  <c r="D251" i="13" l="1"/>
  <c r="D339" i="13"/>
  <c r="D338" i="13" s="1"/>
  <c r="G490" i="12"/>
  <c r="G489" i="12" s="1"/>
  <c r="CG45" i="12"/>
  <c r="CG1570" i="12" s="1"/>
  <c r="CF613" i="12" l="1"/>
  <c r="CF614" i="12"/>
  <c r="D597" i="13" l="1"/>
  <c r="G1061" i="12"/>
  <c r="D651" i="13"/>
  <c r="D599" i="13"/>
  <c r="D779" i="13"/>
  <c r="D778" i="13" s="1"/>
  <c r="D653" i="13"/>
  <c r="G265" i="12"/>
  <c r="G264" i="12" s="1"/>
  <c r="D391" i="13"/>
  <c r="G828" i="12"/>
  <c r="CF994" i="12"/>
  <c r="CF336" i="12"/>
  <c r="CF1570" i="12" s="1"/>
  <c r="D392" i="13"/>
  <c r="CE1570" i="12"/>
  <c r="G1038" i="12"/>
  <c r="D777" i="13" l="1"/>
  <c r="D776" i="13" s="1"/>
  <c r="G1096" i="12"/>
  <c r="G860" i="12"/>
  <c r="G808" i="12"/>
  <c r="G174" i="12"/>
  <c r="G173" i="12" s="1"/>
  <c r="G172" i="12" s="1"/>
  <c r="G171" i="12" s="1"/>
  <c r="G1238" i="12"/>
  <c r="G752" i="12" l="1"/>
  <c r="G750" i="12"/>
  <c r="D65" i="13" l="1"/>
  <c r="CD1570" i="12"/>
  <c r="CD614" i="12"/>
  <c r="G1272" i="12"/>
  <c r="CD994" i="12"/>
  <c r="CD1521" i="12"/>
  <c r="CD1297" i="12"/>
  <c r="D445" i="13" l="1"/>
  <c r="G1427" i="12"/>
  <c r="G438" i="12"/>
  <c r="G436" i="12"/>
  <c r="CC1570" i="12"/>
  <c r="D188" i="13"/>
  <c r="D187" i="13" s="1"/>
  <c r="G435" i="12" l="1"/>
  <c r="G434" i="12" s="1"/>
  <c r="G433" i="12" s="1"/>
  <c r="D190" i="13"/>
  <c r="D189" i="13" s="1"/>
  <c r="D913" i="13"/>
  <c r="D912" i="13" s="1"/>
  <c r="G604" i="12"/>
  <c r="G1385" i="12" l="1"/>
  <c r="G1397" i="12"/>
  <c r="G1391" i="12"/>
  <c r="D642" i="13"/>
  <c r="D641" i="13" s="1"/>
  <c r="D640" i="13"/>
  <c r="D639" i="13" s="1"/>
  <c r="D771" i="13"/>
  <c r="D770" i="13" s="1"/>
  <c r="G1057" i="12"/>
  <c r="G1036" i="12"/>
  <c r="G1034" i="12"/>
  <c r="G858" i="12"/>
  <c r="D775" i="13"/>
  <c r="D774" i="13" s="1"/>
  <c r="D700" i="13"/>
  <c r="D699" i="13" s="1"/>
  <c r="D236" i="13"/>
  <c r="D235" i="13" s="1"/>
  <c r="G826" i="12"/>
  <c r="G1092" i="12"/>
  <c r="G1094" i="12"/>
  <c r="CB994" i="12"/>
  <c r="CB259" i="12"/>
  <c r="CB89" i="12"/>
  <c r="CB45" i="12"/>
  <c r="CA1570" i="12"/>
  <c r="G806" i="12"/>
  <c r="D694" i="13" l="1"/>
  <c r="D693" i="13" s="1"/>
  <c r="D698" i="13"/>
  <c r="D697" i="13" s="1"/>
  <c r="D769" i="13"/>
  <c r="D768" i="13" s="1"/>
  <c r="D646" i="13"/>
  <c r="D645" i="13" s="1"/>
  <c r="CB1570" i="12"/>
  <c r="D644" i="13"/>
  <c r="D643" i="13" s="1"/>
  <c r="D773" i="13"/>
  <c r="D772" i="13" s="1"/>
  <c r="G1059" i="12"/>
  <c r="D696" i="13"/>
  <c r="D695" i="13" s="1"/>
  <c r="G282" i="12"/>
  <c r="D819" i="13" l="1"/>
  <c r="D818" i="13" s="1"/>
  <c r="G1115" i="12"/>
  <c r="D337" i="13"/>
  <c r="D336" i="13" s="1"/>
  <c r="D335" i="13" s="1"/>
  <c r="D334" i="13" s="1"/>
  <c r="G79" i="12" l="1"/>
  <c r="BY1570" i="12"/>
  <c r="BX524" i="12"/>
  <c r="BX994" i="12"/>
  <c r="BX44" i="12"/>
  <c r="BX1570" i="12" l="1"/>
  <c r="G77" i="12"/>
  <c r="G76" i="12" s="1"/>
  <c r="D767" i="13" l="1"/>
  <c r="D766" i="13" s="1"/>
  <c r="D684" i="13"/>
  <c r="G1389" i="12"/>
  <c r="G1383" i="12"/>
  <c r="G1393" i="12"/>
  <c r="G1387" i="12"/>
  <c r="G1381" i="12"/>
  <c r="G1205" i="12"/>
  <c r="G1204" i="12" s="1"/>
  <c r="G1207" i="12"/>
  <c r="G1209" i="12"/>
  <c r="G1216" i="12"/>
  <c r="G1215" i="12" s="1"/>
  <c r="G1214" i="12" s="1"/>
  <c r="G1213" i="12" s="1"/>
  <c r="G1212" i="12" s="1"/>
  <c r="G1220" i="12"/>
  <c r="G1219" i="12" s="1"/>
  <c r="G1218" i="12" s="1"/>
  <c r="G847" i="12"/>
  <c r="G824" i="12"/>
  <c r="G804" i="12"/>
  <c r="D715" i="13"/>
  <c r="G1380" i="12" l="1"/>
  <c r="G1379" i="12" s="1"/>
  <c r="G1203" i="12"/>
  <c r="G1016" i="12"/>
  <c r="G1014" i="12"/>
  <c r="G1013" i="12" s="1"/>
  <c r="G1012" i="12" s="1"/>
  <c r="G1011" i="12"/>
  <c r="G771" i="12"/>
  <c r="G769" i="12"/>
  <c r="G766" i="12"/>
  <c r="D501" i="13"/>
  <c r="D500" i="13" s="1"/>
  <c r="D97" i="13"/>
  <c r="D94" i="13"/>
  <c r="G669" i="12" l="1"/>
  <c r="BU727" i="12"/>
  <c r="BU1570" i="12"/>
  <c r="D497" i="13"/>
  <c r="G1377" i="12"/>
  <c r="D333" i="13"/>
  <c r="D332" i="13" s="1"/>
  <c r="D401" i="13"/>
  <c r="D220" i="13"/>
  <c r="BT1570" i="12" l="1"/>
  <c r="D448" i="13"/>
  <c r="G1425" i="12"/>
  <c r="G1424" i="12" s="1"/>
  <c r="G1407" i="12" s="1"/>
  <c r="D499" i="13"/>
  <c r="D498" i="13" s="1"/>
  <c r="G667" i="12"/>
  <c r="D331" i="13"/>
  <c r="D330" i="13" s="1"/>
  <c r="G1375" i="12"/>
  <c r="D817" i="13" l="1"/>
  <c r="D816" i="13" s="1"/>
  <c r="G1113" i="12"/>
  <c r="G471" i="12" l="1"/>
  <c r="BM45" i="12"/>
  <c r="BM259" i="12"/>
  <c r="BM88" i="12"/>
  <c r="BM44" i="12"/>
  <c r="BM391" i="12"/>
  <c r="BM89" i="12"/>
  <c r="BM91" i="12"/>
  <c r="D858" i="13" l="1"/>
  <c r="BM90" i="12"/>
  <c r="BM1289" i="12"/>
  <c r="BM1570" i="12"/>
  <c r="BN994" i="12" l="1"/>
  <c r="BP1570" i="12"/>
  <c r="D452" i="13"/>
  <c r="G1482" i="12"/>
  <c r="BO1108" i="12"/>
  <c r="D233" i="13"/>
  <c r="D232" i="13" s="1"/>
  <c r="D231" i="13" s="1"/>
  <c r="G1201" i="12"/>
  <c r="G1200" i="12" s="1"/>
  <c r="G1199" i="12" s="1"/>
  <c r="D451" i="13" l="1"/>
  <c r="D439" i="13"/>
  <c r="D438" i="13" s="1"/>
  <c r="D434" i="13" s="1"/>
  <c r="BO1570" i="12"/>
  <c r="BN1120" i="12"/>
  <c r="BN336" i="12"/>
  <c r="BN1297" i="12"/>
  <c r="BN1137" i="12"/>
  <c r="BN727" i="12" l="1"/>
  <c r="BN1570" i="12" l="1"/>
  <c r="G689" i="12"/>
  <c r="BQ1570" i="12" l="1"/>
  <c r="BQ1" i="12"/>
  <c r="G685" i="12"/>
  <c r="BL994" i="12"/>
  <c r="BL1468" i="12"/>
  <c r="BL89" i="12"/>
  <c r="BL242" i="12"/>
  <c r="BL45" i="12"/>
  <c r="BL1570" i="12" l="1"/>
  <c r="BK994" i="12"/>
  <c r="G394" i="12" l="1"/>
  <c r="BK45" i="12"/>
  <c r="D802" i="13" l="1"/>
  <c r="D801" i="13" s="1"/>
  <c r="G956" i="12"/>
  <c r="BK153" i="12" l="1"/>
  <c r="BK1570" i="12" s="1"/>
  <c r="BJ613" i="12" l="1"/>
  <c r="BJ614" i="12"/>
  <c r="BJ994" i="12"/>
  <c r="BJ89" i="12"/>
  <c r="BJ319" i="12"/>
  <c r="BJ88" i="12"/>
  <c r="BJ1570" i="12" l="1"/>
  <c r="D573" i="13"/>
  <c r="D572" i="13" s="1"/>
  <c r="G999" i="12"/>
  <c r="D496" i="13" l="1"/>
  <c r="D495" i="13" s="1"/>
  <c r="BH524" i="12"/>
  <c r="BH614" i="12"/>
  <c r="BH994" i="12"/>
  <c r="BH60" i="12"/>
  <c r="BH1560" i="12"/>
  <c r="G665" i="12" l="1"/>
  <c r="BH1570" i="12"/>
  <c r="BI1570" i="12"/>
  <c r="G1464" i="12"/>
  <c r="D444" i="13"/>
  <c r="D109" i="13"/>
  <c r="BG1570" i="12"/>
  <c r="D800" i="13"/>
  <c r="D799" i="13" s="1"/>
  <c r="G954" i="12"/>
  <c r="G403" i="12" l="1"/>
  <c r="G1367" i="12" l="1"/>
  <c r="D560" i="13" l="1"/>
  <c r="G1559" i="12"/>
  <c r="G1506" i="12"/>
  <c r="G1374" i="12"/>
  <c r="G1142" i="12"/>
  <c r="G413" i="12"/>
  <c r="BD336" i="12"/>
  <c r="BB1570" i="12"/>
  <c r="BE1406" i="12" l="1"/>
  <c r="BE564" i="12"/>
  <c r="D295" i="13"/>
  <c r="BE1570" i="12"/>
  <c r="D475" i="13"/>
  <c r="D474" i="13" s="1"/>
  <c r="D477" i="13"/>
  <c r="D476" i="13" s="1"/>
  <c r="G687" i="12"/>
  <c r="G684" i="12"/>
  <c r="G683" i="12" s="1"/>
  <c r="G936" i="12"/>
  <c r="D512" i="13"/>
  <c r="D511" i="13" s="1"/>
  <c r="G728" i="12"/>
  <c r="BD1570" i="12"/>
  <c r="D447" i="13"/>
  <c r="G1467" i="12"/>
  <c r="G924" i="12" l="1"/>
  <c r="D955" i="13"/>
  <c r="D954" i="13" s="1"/>
  <c r="D953" i="13"/>
  <c r="D952" i="13" s="1"/>
  <c r="BC1570" i="12"/>
  <c r="BF1570" i="12" s="1"/>
  <c r="G916" i="12" l="1"/>
  <c r="G918" i="12"/>
  <c r="D795" i="13"/>
  <c r="D794" i="13" s="1"/>
  <c r="D797" i="13"/>
  <c r="D796" i="13" s="1"/>
  <c r="G950" i="12"/>
  <c r="G948" i="12"/>
  <c r="G947" i="12" l="1"/>
  <c r="G279" i="12"/>
  <c r="D219" i="13"/>
  <c r="D218" i="13" s="1"/>
  <c r="G1558" i="12" l="1"/>
  <c r="G1557" i="12" s="1"/>
  <c r="G1556" i="12" s="1"/>
  <c r="D897" i="13" l="1"/>
  <c r="G1081" i="12"/>
  <c r="G1032" i="12"/>
  <c r="D514" i="13"/>
  <c r="BA1570" i="12"/>
  <c r="D638" i="13"/>
  <c r="D637" i="13" s="1"/>
  <c r="D692" i="13" l="1"/>
  <c r="D691" i="13" s="1"/>
  <c r="G1055" i="12"/>
  <c r="AZ1570" i="12"/>
  <c r="AZ994" i="12"/>
  <c r="AY1570" i="12" l="1"/>
  <c r="D945" i="13" l="1"/>
  <c r="D947" i="13"/>
  <c r="G892" i="12"/>
  <c r="AX253" i="12" l="1"/>
  <c r="AX250" i="12"/>
  <c r="D179" i="13" l="1"/>
  <c r="D178" i="13"/>
  <c r="G26" i="12"/>
  <c r="AX1570" i="12"/>
  <c r="AX994" i="12"/>
  <c r="AX1259" i="12"/>
  <c r="AX1257" i="12"/>
  <c r="G1256" i="12" s="1"/>
  <c r="G239" i="12" l="1"/>
  <c r="G1254" i="12"/>
  <c r="G1243" i="12" s="1"/>
  <c r="D177" i="13"/>
  <c r="G277" i="12"/>
  <c r="D172" i="13"/>
  <c r="D21" i="13"/>
  <c r="AW1570" i="12"/>
  <c r="D636" i="13" l="1"/>
  <c r="D635" i="13" s="1"/>
  <c r="G1079" i="12"/>
  <c r="D729" i="13"/>
  <c r="G1053" i="12"/>
  <c r="D690" i="13"/>
  <c r="D689" i="13" s="1"/>
  <c r="G1030" i="12"/>
  <c r="AV45" i="12" l="1"/>
  <c r="G988" i="12"/>
  <c r="G987" i="12" s="1"/>
  <c r="AV911" i="12"/>
  <c r="AV610" i="12"/>
  <c r="AV499" i="12"/>
  <c r="AV994" i="12"/>
  <c r="AV1297" i="12"/>
  <c r="G330" i="12" l="1"/>
  <c r="AV1570" i="12"/>
  <c r="D314" i="13"/>
  <c r="D313" i="13" s="1"/>
  <c r="D163" i="13" l="1"/>
  <c r="G1505" i="12" l="1"/>
  <c r="G1504" i="12" s="1"/>
  <c r="D360" i="13"/>
  <c r="D359" i="13" l="1"/>
  <c r="D358" i="13" s="1"/>
  <c r="D727" i="13" l="1"/>
  <c r="D924" i="13"/>
  <c r="D923" i="13"/>
  <c r="AS45" i="12"/>
  <c r="AT1570" i="12"/>
  <c r="AS524" i="12"/>
  <c r="AS994" i="12"/>
  <c r="AS727" i="12"/>
  <c r="D677" i="13"/>
  <c r="D623" i="13"/>
  <c r="AS1570" i="12" l="1"/>
  <c r="AR1570" i="12"/>
  <c r="G1111" i="12"/>
  <c r="D815" i="13" l="1"/>
  <c r="D814" i="13" s="1"/>
  <c r="G876" i="12" l="1"/>
  <c r="G875" i="12" s="1"/>
  <c r="G874" i="12" s="1"/>
  <c r="G863" i="12" s="1"/>
  <c r="D823" i="13" l="1"/>
  <c r="D765" i="13"/>
  <c r="D764" i="13" s="1"/>
  <c r="G1086" i="12"/>
  <c r="D723" i="13"/>
  <c r="D725" i="13"/>
  <c r="G1017" i="12"/>
  <c r="D98" i="13"/>
  <c r="D593" i="13" l="1"/>
  <c r="G1362" i="12"/>
  <c r="G1361" i="12" s="1"/>
  <c r="AQ1570" i="12"/>
  <c r="D745" i="13"/>
  <c r="D744" i="13" s="1"/>
  <c r="D743" i="13"/>
  <c r="D742" i="13" s="1"/>
  <c r="D741" i="13"/>
  <c r="D740" i="13" s="1"/>
  <c r="D739" i="13"/>
  <c r="D738" i="13" s="1"/>
  <c r="G1090" i="12"/>
  <c r="G1088" i="12"/>
  <c r="G1084" i="12"/>
  <c r="D826" i="13"/>
  <c r="D825" i="13" s="1"/>
  <c r="G1129" i="12"/>
  <c r="G1356" i="12"/>
  <c r="G1051" i="12"/>
  <c r="G1359" i="12"/>
  <c r="G1358" i="12" s="1"/>
  <c r="G1077" i="12"/>
  <c r="G1063" i="12" s="1"/>
  <c r="G1509" i="12"/>
  <c r="D366" i="13"/>
  <c r="D365" i="13" s="1"/>
  <c r="D737" i="13" l="1"/>
  <c r="G1083" i="12"/>
  <c r="D95" i="13" l="1"/>
  <c r="AP1570" i="12"/>
  <c r="G1373" i="12" l="1"/>
  <c r="G1372" i="12" s="1"/>
  <c r="G1371" i="12" s="1"/>
  <c r="G1370" i="12" s="1"/>
  <c r="G1369" i="12" s="1"/>
  <c r="F50" i="14" s="1"/>
  <c r="F49" i="14" s="1"/>
  <c r="D559" i="13"/>
  <c r="G1368" i="12" l="1"/>
  <c r="D473" i="13"/>
  <c r="D472" i="13" s="1"/>
  <c r="G663" i="12"/>
  <c r="G654" i="12" s="1"/>
  <c r="D460" i="13"/>
  <c r="G650" i="12"/>
  <c r="D42" i="13"/>
  <c r="D41" i="13" s="1"/>
  <c r="G1185" i="12"/>
  <c r="G1354" i="12"/>
  <c r="G1353" i="12" s="1"/>
  <c r="G1352" i="12" s="1"/>
  <c r="G1028" i="12"/>
  <c r="G1351" i="12" l="1"/>
  <c r="D364" i="13"/>
  <c r="D363" i="13" s="1"/>
  <c r="G1507" i="12"/>
  <c r="D62" i="13"/>
  <c r="G320" i="12"/>
  <c r="G1503" i="12" l="1"/>
  <c r="D316" i="13"/>
  <c r="D315" i="13" s="1"/>
  <c r="G1049" i="12"/>
  <c r="G960" i="12"/>
  <c r="G959" i="12" s="1"/>
  <c r="G958" i="12" s="1"/>
  <c r="D921" i="13"/>
  <c r="G104" i="12"/>
  <c r="G101" i="12"/>
  <c r="G92" i="12"/>
  <c r="D29" i="13"/>
  <c r="G969" i="12"/>
  <c r="G968" i="12" s="1"/>
  <c r="G971" i="12"/>
  <c r="G977" i="12"/>
  <c r="G976" i="12" s="1"/>
  <c r="G975" i="12" s="1"/>
  <c r="G974" i="12" s="1"/>
  <c r="G973" i="12" s="1"/>
  <c r="G982" i="12"/>
  <c r="G981" i="12" s="1"/>
  <c r="G980" i="12" s="1"/>
  <c r="G979" i="12" s="1"/>
  <c r="G978" i="12" s="1"/>
  <c r="AN44" i="12"/>
  <c r="AN90" i="12"/>
  <c r="G1366" i="12" l="1"/>
  <c r="G1365" i="12" s="1"/>
  <c r="G1364" i="12" s="1"/>
  <c r="AN1570" i="12"/>
  <c r="G967" i="12"/>
  <c r="G966" i="12" s="1"/>
  <c r="AO1570" i="12"/>
  <c r="D326" i="13"/>
  <c r="D325" i="13" s="1"/>
  <c r="D324" i="13" s="1"/>
  <c r="G1346" i="12"/>
  <c r="G1345" i="12" s="1"/>
  <c r="D329" i="13"/>
  <c r="D328" i="13" s="1"/>
  <c r="D327" i="13" s="1"/>
  <c r="G1349" i="12"/>
  <c r="G1348" i="12" s="1"/>
  <c r="D151" i="13"/>
  <c r="D150" i="13" s="1"/>
  <c r="D149" i="13" s="1"/>
  <c r="D148" i="13" s="1"/>
  <c r="G163" i="12"/>
  <c r="G162" i="12" s="1"/>
  <c r="G161" i="12" s="1"/>
  <c r="D93" i="13"/>
  <c r="D96" i="13"/>
  <c r="G66" i="12"/>
  <c r="G64" i="12"/>
  <c r="G63" i="12" s="1"/>
  <c r="D195" i="13"/>
  <c r="D196" i="13"/>
  <c r="G168" i="12"/>
  <c r="G167" i="12" s="1"/>
  <c r="G166" i="12" s="1"/>
  <c r="G165" i="12" s="1"/>
  <c r="D92" i="13" l="1"/>
  <c r="G1344" i="12"/>
  <c r="D323" i="13"/>
  <c r="D194" i="13"/>
  <c r="D193" i="13" s="1"/>
  <c r="D192" i="13" s="1"/>
  <c r="D920" i="13"/>
  <c r="H882" i="12"/>
  <c r="G1528" i="12"/>
  <c r="G1141" i="12"/>
  <c r="G1140" i="12" s="1"/>
  <c r="G1139" i="12" s="1"/>
  <c r="G1138" i="12" s="1"/>
  <c r="D568" i="13"/>
  <c r="D318" i="13"/>
  <c r="D317" i="13" s="1"/>
  <c r="D581" i="13"/>
  <c r="D934" i="13"/>
  <c r="D933" i="13" s="1"/>
  <c r="G885" i="12"/>
  <c r="D533" i="13"/>
  <c r="D532" i="13" s="1"/>
  <c r="D531" i="13"/>
  <c r="D530" i="13" s="1"/>
  <c r="G747" i="12"/>
  <c r="D527" i="13"/>
  <c r="D526" i="13" s="1"/>
  <c r="G681" i="12"/>
  <c r="G679" i="12"/>
  <c r="D468" i="13"/>
  <c r="D286" i="13"/>
  <c r="D285" i="13" s="1"/>
  <c r="H391" i="12"/>
  <c r="D900" i="13"/>
  <c r="G329" i="12"/>
  <c r="G328" i="12" s="1"/>
  <c r="G327" i="12" s="1"/>
  <c r="G316" i="12"/>
  <c r="D59" i="13"/>
  <c r="D126" i="13"/>
  <c r="D133" i="13"/>
  <c r="D132" i="13"/>
  <c r="D125" i="13"/>
  <c r="H89" i="12"/>
  <c r="G945" i="12" l="1"/>
  <c r="D378" i="13"/>
  <c r="D377" i="13" s="1"/>
  <c r="D362" i="13"/>
  <c r="D361" i="13" s="1"/>
  <c r="D357" i="13" s="1"/>
  <c r="D529" i="13"/>
  <c r="D528" i="13" s="1"/>
  <c r="D525" i="13" s="1"/>
  <c r="D524" i="13" s="1"/>
  <c r="G749" i="12"/>
  <c r="G751" i="12"/>
  <c r="G985" i="12"/>
  <c r="D162" i="13"/>
  <c r="G135" i="12"/>
  <c r="G140" i="12"/>
  <c r="D376" i="13"/>
  <c r="D375" i="13" s="1"/>
  <c r="G745" i="12"/>
  <c r="G744" i="12" s="1"/>
  <c r="G743" i="12" s="1"/>
  <c r="G887" i="12"/>
  <c r="D124" i="13"/>
  <c r="D131" i="13"/>
  <c r="G984" i="12" l="1"/>
  <c r="G983" i="12" s="1"/>
  <c r="H590" i="12"/>
  <c r="J153" i="12" l="1"/>
  <c r="J1570" i="12" l="1"/>
  <c r="I130" i="12"/>
  <c r="I1570" i="12" l="1"/>
  <c r="H45" i="12"/>
  <c r="H649" i="12" l="1"/>
  <c r="H1137" i="12"/>
  <c r="H994" i="12"/>
  <c r="H911" i="12"/>
  <c r="H727" i="12"/>
  <c r="H1289" i="12"/>
  <c r="H1283" i="12"/>
  <c r="H90" i="12"/>
  <c r="H1521" i="12"/>
  <c r="H1184" i="12"/>
  <c r="G1183" i="12" s="1"/>
  <c r="H1188" i="12"/>
  <c r="D481" i="13" l="1"/>
  <c r="D480" i="13" s="1"/>
  <c r="G647" i="12"/>
  <c r="G993" i="12"/>
  <c r="H91" i="12"/>
  <c r="H44" i="12"/>
  <c r="G43" i="12" s="1"/>
  <c r="H1570" i="12" l="1"/>
  <c r="AE33" i="12"/>
  <c r="AH44" i="12"/>
  <c r="M45" i="12"/>
  <c r="T45" i="12"/>
  <c r="AC45" i="12"/>
  <c r="AH45" i="12"/>
  <c r="AK45" i="12"/>
  <c r="AC47" i="12"/>
  <c r="T89" i="12"/>
  <c r="U89" i="12"/>
  <c r="W89" i="12"/>
  <c r="W1561" i="12" s="1"/>
  <c r="AC89" i="12"/>
  <c r="AE89" i="12"/>
  <c r="AH89" i="12"/>
  <c r="AK89" i="12"/>
  <c r="T90" i="12"/>
  <c r="W90" i="12"/>
  <c r="AK90" i="12"/>
  <c r="AH109" i="12"/>
  <c r="AH110" i="12"/>
  <c r="AH111" i="12"/>
  <c r="AG130" i="12"/>
  <c r="AG1561" i="12" s="1"/>
  <c r="AK130" i="12"/>
  <c r="AH189" i="12"/>
  <c r="T290" i="12"/>
  <c r="T390" i="12"/>
  <c r="AE447" i="12"/>
  <c r="T524" i="12"/>
  <c r="U524" i="12"/>
  <c r="AC553" i="12"/>
  <c r="AH553" i="12"/>
  <c r="N592" i="12"/>
  <c r="M613" i="12"/>
  <c r="AC614" i="12"/>
  <c r="T727" i="12"/>
  <c r="T906" i="12"/>
  <c r="N911" i="12"/>
  <c r="M994" i="12"/>
  <c r="T994" i="12"/>
  <c r="Z994" i="12"/>
  <c r="Z1561" i="12" s="1"/>
  <c r="AC994" i="12"/>
  <c r="AK994" i="12"/>
  <c r="T1108" i="12"/>
  <c r="U1108" i="12"/>
  <c r="U1109" i="12"/>
  <c r="T1235" i="12"/>
  <c r="T1237" i="12"/>
  <c r="N1289" i="12"/>
  <c r="AK1289" i="12"/>
  <c r="AK1521" i="12"/>
  <c r="K1561" i="12"/>
  <c r="L1561" i="12"/>
  <c r="O1561" i="12"/>
  <c r="X1561" i="12"/>
  <c r="Y1561" i="12"/>
  <c r="AD1561" i="12"/>
  <c r="AF1561" i="12"/>
  <c r="AI1561" i="12"/>
  <c r="K1562" i="12"/>
  <c r="L1562" i="12"/>
  <c r="M1562" i="12"/>
  <c r="W1562" i="12"/>
  <c r="K1563" i="12"/>
  <c r="L1563" i="12"/>
  <c r="U1563" i="12"/>
  <c r="W1563" i="12"/>
  <c r="K1564" i="12"/>
  <c r="L1564" i="12"/>
  <c r="M1564" i="12"/>
  <c r="T1564" i="12"/>
  <c r="U1564" i="12"/>
  <c r="K1565" i="12"/>
  <c r="L1565" i="12"/>
  <c r="M1565" i="12"/>
  <c r="T1565" i="12"/>
  <c r="U1565" i="12"/>
  <c r="W1565" i="12"/>
  <c r="G602" i="12"/>
  <c r="AE1561" i="12" l="1"/>
  <c r="U1562" i="12"/>
  <c r="U1566" i="12" s="1"/>
  <c r="M1561" i="12"/>
  <c r="M1563" i="12"/>
  <c r="V1565" i="12"/>
  <c r="AC1561" i="12"/>
  <c r="AH1561" i="12"/>
  <c r="AK1570" i="12"/>
  <c r="V1564" i="12"/>
  <c r="W1566" i="12"/>
  <c r="N1561" i="12"/>
  <c r="T1562" i="12"/>
  <c r="V1562" i="12" s="1"/>
  <c r="T1563" i="12"/>
  <c r="V1563" i="12" s="1"/>
  <c r="V1566" i="12" l="1"/>
  <c r="T1566" i="12"/>
  <c r="G224" i="12"/>
  <c r="G222" i="12"/>
  <c r="G221" i="12" s="1"/>
  <c r="G219" i="12"/>
  <c r="G217" i="12"/>
  <c r="G213" i="12"/>
  <c r="G191" i="12"/>
  <c r="G34" i="12"/>
  <c r="D493" i="13" l="1"/>
  <c r="D492" i="13" s="1"/>
  <c r="D491" i="13" s="1"/>
  <c r="G661" i="12"/>
  <c r="G660" i="12" s="1"/>
  <c r="D54" i="13" l="1"/>
  <c r="D36" i="13"/>
  <c r="D973" i="13" l="1"/>
  <c r="G1568" i="12"/>
  <c r="G1566" i="12"/>
  <c r="D975" i="13" l="1"/>
  <c r="G1565" i="12"/>
  <c r="G1564" i="12" s="1"/>
  <c r="G1563" i="12" s="1"/>
  <c r="G1562" i="12" s="1"/>
  <c r="G1561" i="12" l="1"/>
  <c r="F17" i="14" s="1"/>
  <c r="G1128" i="12"/>
  <c r="D885" i="13"/>
  <c r="D855" i="13"/>
  <c r="D322" i="13"/>
  <c r="D321" i="13" s="1"/>
  <c r="G396" i="12"/>
  <c r="D864" i="13"/>
  <c r="D158" i="13"/>
  <c r="D61" i="13"/>
  <c r="D60" i="13"/>
  <c r="D203" i="13"/>
  <c r="D202" i="13" s="1"/>
  <c r="D34" i="13"/>
  <c r="D861" i="13"/>
  <c r="D974" i="13"/>
  <c r="G17" i="12" l="1"/>
  <c r="G531" i="12"/>
  <c r="G527" i="12"/>
  <c r="G1454" i="12" l="1"/>
  <c r="D959" i="13" l="1"/>
  <c r="D958" i="13" s="1"/>
  <c r="D961" i="13"/>
  <c r="D960" i="13" s="1"/>
  <c r="G921" i="12" l="1"/>
  <c r="G920" i="12" s="1"/>
  <c r="D957" i="13"/>
  <c r="D956" i="13" s="1"/>
  <c r="D348" i="13"/>
  <c r="G1266" i="12"/>
  <c r="D217" i="13" s="1"/>
  <c r="D216" i="13" s="1"/>
  <c r="G1121" i="12"/>
  <c r="D554" i="13"/>
  <c r="G915" i="12" l="1"/>
  <c r="G914" i="12" s="1"/>
  <c r="D951" i="13"/>
  <c r="D950" i="13" s="1"/>
  <c r="G31" i="12"/>
  <c r="G544" i="12" l="1"/>
  <c r="D895" i="13"/>
  <c r="D844" i="13" l="1"/>
  <c r="G409" i="12"/>
  <c r="G408" i="12" s="1"/>
  <c r="G584" i="12" l="1"/>
  <c r="G425" i="12"/>
  <c r="G424" i="12" s="1"/>
  <c r="G211" i="12" l="1"/>
  <c r="D930" i="13" l="1"/>
  <c r="D929" i="13" s="1"/>
  <c r="G620" i="12"/>
  <c r="G619" i="12" s="1"/>
  <c r="D592" i="13" l="1"/>
  <c r="D588" i="13"/>
  <c r="D276" i="13"/>
  <c r="D254" i="13"/>
  <c r="D122" i="13"/>
  <c r="G100" i="12" l="1"/>
  <c r="G1004" i="12"/>
  <c r="G551" i="12"/>
  <c r="G856" i="12" l="1"/>
  <c r="G855" i="12" s="1"/>
  <c r="G854" i="12" s="1"/>
  <c r="G853" i="12" s="1"/>
  <c r="D105" i="13" l="1"/>
  <c r="D104" i="13" s="1"/>
  <c r="D56" i="13" l="1"/>
  <c r="D55" i="13" s="1"/>
  <c r="G194" i="12"/>
  <c r="D48" i="13"/>
  <c r="D571" i="13" l="1"/>
  <c r="D787" i="13"/>
  <c r="D786" i="13" s="1"/>
  <c r="G568" i="12"/>
  <c r="G1336" i="12" l="1"/>
  <c r="G997" i="12"/>
  <c r="G996" i="12" s="1"/>
  <c r="G571" i="12"/>
  <c r="G570" i="12" s="1"/>
  <c r="D450" i="13" l="1"/>
  <c r="D449" i="13" s="1"/>
  <c r="D446" i="13" s="1"/>
  <c r="D586" i="13"/>
  <c r="D103" i="13"/>
  <c r="D102" i="13" s="1"/>
  <c r="D101" i="13" s="1"/>
  <c r="D53" i="13"/>
  <c r="D51" i="13" s="1"/>
  <c r="D485" i="13"/>
  <c r="G1469" i="12"/>
  <c r="G1002" i="12"/>
  <c r="G1001" i="12" s="1"/>
  <c r="G1466" i="12" l="1"/>
  <c r="G1463" i="12" s="1"/>
  <c r="D100" i="13"/>
  <c r="D99" i="13" s="1"/>
  <c r="G1329" i="12"/>
  <c r="D580" i="13" l="1"/>
  <c r="G529" i="12"/>
  <c r="D108" i="13" l="1"/>
  <c r="G108" i="12" l="1"/>
  <c r="D545" i="13"/>
  <c r="D544" i="13" s="1"/>
  <c r="D161" i="13"/>
  <c r="D160" i="13" s="1"/>
  <c r="D176" i="13"/>
  <c r="D175" i="13" s="1"/>
  <c r="D118" i="13"/>
  <c r="G786" i="12" l="1"/>
  <c r="G246" i="12"/>
  <c r="G1459" i="12" l="1"/>
  <c r="D427" i="13" l="1"/>
  <c r="D426" i="13" s="1"/>
  <c r="D890" i="13" l="1"/>
  <c r="D887" i="13" s="1"/>
  <c r="G1251" i="12" l="1"/>
  <c r="G1250" i="12" s="1"/>
  <c r="D824" i="13"/>
  <c r="G941" i="12"/>
  <c r="D871" i="13"/>
  <c r="D206" i="13"/>
  <c r="D205" i="13" s="1"/>
  <c r="D71" i="13"/>
  <c r="D70" i="13"/>
  <c r="G113" i="12"/>
  <c r="D91" i="13"/>
  <c r="D90" i="13" s="1"/>
  <c r="G1109" i="12"/>
  <c r="G522" i="12" l="1"/>
  <c r="D812" i="13"/>
  <c r="G1119" i="12"/>
  <c r="G1118" i="12" s="1"/>
  <c r="D390" i="13"/>
  <c r="D168" i="13"/>
  <c r="G412" i="12"/>
  <c r="G61" i="12"/>
  <c r="G235" i="12"/>
  <c r="D167" i="13"/>
  <c r="G158" i="12"/>
  <c r="G157" i="12" s="1"/>
  <c r="G156" i="12" s="1"/>
  <c r="G155" i="12" s="1"/>
  <c r="G1107" i="12"/>
  <c r="G1106" i="12" s="1"/>
  <c r="D788" i="13" l="1"/>
  <c r="G56" i="12" l="1"/>
  <c r="D120" i="13" l="1"/>
  <c r="D128" i="13"/>
  <c r="D649" i="13"/>
  <c r="D595" i="13"/>
  <c r="G943" i="12"/>
  <c r="G1341" i="12"/>
  <c r="G1339" i="12" s="1"/>
  <c r="G1335" i="12"/>
  <c r="G1333" i="12" s="1"/>
  <c r="D570" i="13"/>
  <c r="D569" i="13" s="1"/>
  <c r="G940" i="12" l="1"/>
  <c r="G939" i="12" s="1"/>
  <c r="D874" i="13"/>
  <c r="D876" i="13"/>
  <c r="D519" i="13"/>
  <c r="D470" i="13"/>
  <c r="D50" i="13"/>
  <c r="D89" i="13"/>
  <c r="D88" i="13" s="1"/>
  <c r="D345" i="13" l="1"/>
  <c r="D394" i="13"/>
  <c r="D863" i="13"/>
  <c r="D862" i="13" s="1"/>
  <c r="D857" i="13"/>
  <c r="D425" i="13"/>
  <c r="D422" i="13"/>
  <c r="D241" i="13"/>
  <c r="D293" i="13"/>
  <c r="D292" i="13"/>
  <c r="D290" i="13"/>
  <c r="D288" i="13" s="1"/>
  <c r="D267" i="13"/>
  <c r="D265" i="13"/>
  <c r="D245" i="13"/>
  <c r="D431" i="13"/>
  <c r="D208" i="13"/>
  <c r="D847" i="13"/>
  <c r="D46" i="13" l="1"/>
  <c r="D45" i="13" s="1"/>
  <c r="F40" i="13" s="1"/>
  <c r="D40" i="13"/>
  <c r="D39" i="13" s="1"/>
  <c r="D822" i="13"/>
  <c r="D821" i="13" s="1"/>
  <c r="D820" i="13" s="1"/>
  <c r="D813" i="13"/>
  <c r="D811" i="13" s="1"/>
  <c r="D810" i="13" s="1"/>
  <c r="D564" i="13"/>
  <c r="D443" i="13"/>
  <c r="D942" i="13"/>
  <c r="D940" i="13"/>
  <c r="D932" i="13"/>
  <c r="D928" i="13"/>
  <c r="D927" i="13" s="1"/>
  <c r="D540" i="13"/>
  <c r="D536" i="13"/>
  <c r="D517" i="13"/>
  <c r="D785" i="13"/>
  <c r="D584" i="13"/>
  <c r="D373" i="13"/>
  <c r="D909" i="13"/>
  <c r="D905" i="13"/>
  <c r="D881" i="13"/>
  <c r="D883" i="13"/>
  <c r="D880" i="13"/>
  <c r="D868" i="13"/>
  <c r="D831" i="13"/>
  <c r="D558" i="13"/>
  <c r="D281" i="13"/>
  <c r="E276" i="13" s="1"/>
  <c r="D274" i="13"/>
  <c r="D273" i="13"/>
  <c r="D894" i="13"/>
  <c r="D893" i="13" s="1"/>
  <c r="D907" i="13"/>
  <c r="D859" i="13"/>
  <c r="D413" i="13"/>
  <c r="D412" i="13"/>
  <c r="D385" i="13"/>
  <c r="D384" i="13"/>
  <c r="D853" i="13"/>
  <c r="D852" i="13" s="1"/>
  <c r="D617" i="13"/>
  <c r="D671" i="13"/>
  <c r="D259" i="13"/>
  <c r="D250" i="13"/>
  <c r="D252" i="13"/>
  <c r="D249" i="13"/>
  <c r="D416" i="13"/>
  <c r="D415" i="13"/>
  <c r="D403" i="13"/>
  <c r="D402" i="13"/>
  <c r="D58" i="13"/>
  <c r="D57" i="13" s="1"/>
  <c r="D19" i="13"/>
  <c r="D397" i="13"/>
  <c r="D156" i="13"/>
  <c r="D155" i="13"/>
  <c r="D199" i="13"/>
  <c r="D185" i="13"/>
  <c r="D182" i="13"/>
  <c r="D763" i="13"/>
  <c r="D762" i="13" s="1"/>
  <c r="D761" i="13"/>
  <c r="D760" i="13" s="1"/>
  <c r="D879" i="13" l="1"/>
  <c r="D248" i="13"/>
  <c r="D414" i="13"/>
  <c r="D784" i="13"/>
  <c r="D783" i="13" s="1"/>
  <c r="D782" i="13" s="1"/>
  <c r="D154" i="13"/>
  <c r="E249" i="13"/>
  <c r="D634" i="13"/>
  <c r="D633" i="13" s="1"/>
  <c r="D631" i="13"/>
  <c r="D688" i="13"/>
  <c r="D687" i="13" s="1"/>
  <c r="D685" i="13"/>
  <c r="D145" i="13"/>
  <c r="D77" i="13"/>
  <c r="D75" i="13" s="1"/>
  <c r="D73" i="13"/>
  <c r="D107" i="13"/>
  <c r="D32" i="13"/>
  <c r="D121" i="13"/>
  <c r="D27" i="13"/>
  <c r="D25" i="13"/>
  <c r="D24" i="13"/>
  <c r="D22" i="13"/>
  <c r="D87" i="13"/>
  <c r="D23" i="13" l="1"/>
  <c r="D86" i="13"/>
  <c r="D972" i="13"/>
  <c r="D343" i="13" l="1"/>
  <c r="D663" i="13" l="1"/>
  <c r="G1533" i="12"/>
  <c r="D609" i="13"/>
  <c r="G1548" i="12"/>
  <c r="G1547" i="12" s="1"/>
  <c r="D683" i="13"/>
  <c r="G1535" i="12"/>
  <c r="G1532" i="12" s="1"/>
  <c r="D629" i="13"/>
  <c r="G1550" i="12"/>
  <c r="G1539" i="12"/>
  <c r="D759" i="13"/>
  <c r="D758" i="13" s="1"/>
  <c r="G1541" i="12"/>
  <c r="D607" i="13"/>
  <c r="D713" i="13"/>
  <c r="D704" i="13"/>
  <c r="D702" i="13" s="1"/>
  <c r="D661" i="13"/>
  <c r="G1298" i="12"/>
  <c r="G1294" i="12" s="1"/>
  <c r="D183" i="13"/>
  <c r="G1531" i="12" l="1"/>
  <c r="G812" i="12"/>
  <c r="D711" i="13"/>
  <c r="G845" i="12"/>
  <c r="D627" i="13"/>
  <c r="D902" i="13"/>
  <c r="G1405" i="12"/>
  <c r="G792" i="12"/>
  <c r="D657" i="13" s="1"/>
  <c r="D659" i="13"/>
  <c r="G800" i="12"/>
  <c r="G822" i="12"/>
  <c r="D757" i="13"/>
  <c r="D756" i="13" s="1"/>
  <c r="G794" i="12"/>
  <c r="D667" i="13"/>
  <c r="G802" i="12"/>
  <c r="D681" i="13"/>
  <c r="G816" i="12"/>
  <c r="D721" i="13"/>
  <c r="G833" i="12"/>
  <c r="D603" i="13"/>
  <c r="G841" i="12"/>
  <c r="D621" i="13"/>
  <c r="G1127" i="12"/>
  <c r="D793" i="13"/>
  <c r="D792" i="13" s="1"/>
  <c r="G1024" i="12"/>
  <c r="G1045" i="12"/>
  <c r="D749" i="13"/>
  <c r="D748" i="13" s="1"/>
  <c r="G1068" i="12"/>
  <c r="D619" i="13"/>
  <c r="G1331" i="12"/>
  <c r="G796" i="12"/>
  <c r="D669" i="13"/>
  <c r="G810" i="12"/>
  <c r="D707" i="13"/>
  <c r="G818" i="12"/>
  <c r="D751" i="13"/>
  <c r="D750" i="13" s="1"/>
  <c r="G835" i="12"/>
  <c r="D605" i="13"/>
  <c r="G843" i="12"/>
  <c r="G1015" i="12"/>
  <c r="D709" i="13"/>
  <c r="G1026" i="12"/>
  <c r="D665" i="13"/>
  <c r="G1047" i="12"/>
  <c r="D755" i="13"/>
  <c r="D754" i="13" s="1"/>
  <c r="G1070" i="12"/>
  <c r="D625" i="13"/>
  <c r="G790" i="12"/>
  <c r="G798" i="12"/>
  <c r="D675" i="13"/>
  <c r="G820" i="12"/>
  <c r="D753" i="13"/>
  <c r="D752" i="13" s="1"/>
  <c r="G837" i="12"/>
  <c r="D613" i="13"/>
  <c r="G1020" i="12"/>
  <c r="D673" i="13"/>
  <c r="D705" i="13"/>
  <c r="G1064" i="12"/>
  <c r="D601" i="13"/>
  <c r="G814" i="12"/>
  <c r="D719" i="13"/>
  <c r="G839" i="12"/>
  <c r="D615" i="13"/>
  <c r="G1022" i="12"/>
  <c r="D679" i="13"/>
  <c r="G1043" i="12"/>
  <c r="D717" i="13"/>
  <c r="G1066" i="12"/>
  <c r="D611" i="13"/>
  <c r="G1342" i="12"/>
  <c r="G1338" i="12" s="1"/>
  <c r="G1019" i="12" l="1"/>
  <c r="D701" i="13"/>
  <c r="D594" i="13"/>
  <c r="G832" i="12"/>
  <c r="G789" i="12"/>
  <c r="G1040" i="12"/>
  <c r="G1124" i="12"/>
  <c r="G1123" i="12" s="1"/>
  <c r="G1122" i="12" s="1"/>
  <c r="F34" i="14" s="1"/>
  <c r="G1126" i="12"/>
  <c r="G1125" i="12" s="1"/>
  <c r="D655" i="13"/>
  <c r="D648" i="13" s="1"/>
  <c r="G1328" i="12"/>
  <c r="G1327" i="12" s="1"/>
  <c r="G1326" i="12" s="1"/>
  <c r="G1530" i="12"/>
  <c r="D647" i="13" l="1"/>
  <c r="G713" i="12"/>
  <c r="G712" i="12" s="1"/>
  <c r="G705" i="12" s="1"/>
  <c r="F27" i="14" s="1"/>
  <c r="G675" i="12" l="1"/>
  <c r="D374" i="13"/>
  <c r="G1189" i="12"/>
  <c r="G1194" i="12" l="1"/>
  <c r="G1193" i="12" s="1"/>
  <c r="D284" i="13"/>
  <c r="D283" i="13" s="1"/>
  <c r="G1197" i="12"/>
  <c r="G1196" i="12" s="1"/>
  <c r="D309" i="13"/>
  <c r="D308" i="13" s="1"/>
  <c r="G1187" i="12"/>
  <c r="G1178" i="12" s="1"/>
  <c r="D44" i="13"/>
  <c r="D43" i="13" s="1"/>
  <c r="D463" i="13"/>
  <c r="D457" i="13"/>
  <c r="D458" i="13"/>
  <c r="D467" i="13"/>
  <c r="D469" i="13"/>
  <c r="D462" i="13"/>
  <c r="D466" i="13" l="1"/>
  <c r="G1192" i="12"/>
  <c r="G1191" i="12" s="1"/>
  <c r="D461" i="13"/>
  <c r="G644" i="12"/>
  <c r="G643" i="12" l="1"/>
  <c r="G653" i="12"/>
  <c r="G652" i="12"/>
  <c r="G479" i="12"/>
  <c r="G478" i="12" s="1"/>
  <c r="G476" i="12"/>
  <c r="G475" i="12" s="1"/>
  <c r="D312" i="13"/>
  <c r="D311" i="13"/>
  <c r="D49" i="13"/>
  <c r="D47" i="13" s="1"/>
  <c r="F39" i="13" s="1"/>
  <c r="G623" i="12" l="1"/>
  <c r="F23" i="14" s="1"/>
  <c r="D310" i="13"/>
  <c r="G481" i="12"/>
  <c r="G474" i="12" s="1"/>
  <c r="G473" i="12" s="1"/>
  <c r="D747" i="13"/>
  <c r="D746" i="13" s="1"/>
  <c r="D398" i="13" l="1"/>
  <c r="D396" i="13"/>
  <c r="D200" i="13"/>
  <c r="D198" i="13" s="1"/>
  <c r="G249" i="12"/>
  <c r="G252" i="12" l="1"/>
  <c r="D186" i="13"/>
  <c r="G335" i="12"/>
  <c r="G216" i="12"/>
  <c r="G215" i="12" s="1"/>
  <c r="G210" i="12"/>
  <c r="G209" i="12" s="1"/>
  <c r="D142" i="13"/>
  <c r="D141" i="13"/>
  <c r="D117" i="13"/>
  <c r="D115" i="13"/>
  <c r="D31" i="13"/>
  <c r="D30" i="13"/>
  <c r="D83" i="13"/>
  <c r="D856" i="13"/>
  <c r="D28" i="13" l="1"/>
  <c r="D116" i="13"/>
  <c r="G129" i="12"/>
  <c r="D35" i="13"/>
  <c r="G152" i="12"/>
  <c r="D144" i="13"/>
  <c r="G87" i="12"/>
  <c r="G149" i="12"/>
  <c r="G208" i="12"/>
  <c r="G207" i="12" s="1"/>
  <c r="G86" i="12" l="1"/>
  <c r="D566" i="13" l="1"/>
  <c r="D20" i="13" l="1"/>
  <c r="D18" i="13" s="1"/>
  <c r="G1270" i="12"/>
  <c r="G1269" i="12" s="1"/>
  <c r="F51" i="14"/>
  <c r="D946" i="13"/>
  <c r="D944" i="13"/>
  <c r="D943" i="13" s="1"/>
  <c r="D941" i="13"/>
  <c r="D939" i="13"/>
  <c r="D938" i="13"/>
  <c r="D937" i="13" s="1"/>
  <c r="D931" i="13"/>
  <c r="D910" i="13"/>
  <c r="D908" i="13"/>
  <c r="D906" i="13"/>
  <c r="D904" i="13"/>
  <c r="D903" i="13" s="1"/>
  <c r="D901" i="13"/>
  <c r="D899" i="13"/>
  <c r="D898" i="13" s="1"/>
  <c r="D896" i="13"/>
  <c r="D892" i="13"/>
  <c r="D888" i="13"/>
  <c r="D886" i="13"/>
  <c r="D875" i="13"/>
  <c r="D873" i="13"/>
  <c r="D872" i="13" s="1"/>
  <c r="D870" i="13"/>
  <c r="D869" i="13"/>
  <c r="D860" i="13"/>
  <c r="D854" i="13"/>
  <c r="D846" i="13"/>
  <c r="D845" i="13" s="1"/>
  <c r="D843" i="13"/>
  <c r="D840" i="13"/>
  <c r="D839" i="13" s="1"/>
  <c r="D838" i="13" s="1"/>
  <c r="D837" i="13" s="1"/>
  <c r="D836" i="13"/>
  <c r="D835" i="13"/>
  <c r="D830" i="13"/>
  <c r="D829" i="13" s="1"/>
  <c r="D828" i="13" s="1"/>
  <c r="D808" i="13"/>
  <c r="D807" i="13" s="1"/>
  <c r="D806" i="13" s="1"/>
  <c r="D583" i="13"/>
  <c r="D582" i="13" s="1"/>
  <c r="D567" i="13"/>
  <c r="D563" i="13"/>
  <c r="D557" i="13"/>
  <c r="D553" i="13"/>
  <c r="D552" i="13"/>
  <c r="D551" i="13" s="1"/>
  <c r="D543" i="13"/>
  <c r="D542" i="13" s="1"/>
  <c r="D541" i="13" s="1"/>
  <c r="D539" i="13"/>
  <c r="D538" i="13" s="1"/>
  <c r="D535" i="13"/>
  <c r="D534" i="13" s="1"/>
  <c r="D518" i="13"/>
  <c r="D516" i="13"/>
  <c r="D515" i="13" s="1"/>
  <c r="D513" i="13"/>
  <c r="D505" i="13"/>
  <c r="D504" i="13" s="1"/>
  <c r="D488" i="13"/>
  <c r="D487" i="13" s="1"/>
  <c r="D486" i="13" s="1"/>
  <c r="D484" i="13"/>
  <c r="D483" i="13" s="1"/>
  <c r="D482" i="13" s="1"/>
  <c r="D479" i="13"/>
  <c r="D459" i="13"/>
  <c r="D442" i="13"/>
  <c r="D441" i="13" s="1"/>
  <c r="D440" i="13" s="1"/>
  <c r="D430" i="13"/>
  <c r="D429" i="13" s="1"/>
  <c r="D428" i="13" s="1"/>
  <c r="D424" i="13"/>
  <c r="D423" i="13" s="1"/>
  <c r="D421" i="13"/>
  <c r="D420" i="13"/>
  <c r="D419" i="13" s="1"/>
  <c r="D393" i="13"/>
  <c r="D388" i="13"/>
  <c r="D380" i="13"/>
  <c r="D354" i="13"/>
  <c r="D353" i="13" s="1"/>
  <c r="D352" i="13" s="1"/>
  <c r="D351" i="13" s="1"/>
  <c r="D349" i="13"/>
  <c r="D344" i="13"/>
  <c r="D342" i="13"/>
  <c r="D307" i="13"/>
  <c r="D306" i="13" s="1"/>
  <c r="D305" i="13"/>
  <c r="D304" i="13" s="1"/>
  <c r="D303" i="13"/>
  <c r="D302" i="13"/>
  <c r="D300" i="13"/>
  <c r="D299" i="13"/>
  <c r="D294" i="13"/>
  <c r="D291" i="13"/>
  <c r="D280" i="13"/>
  <c r="D279" i="13" s="1"/>
  <c r="D278" i="13"/>
  <c r="D277" i="13" s="1"/>
  <c r="D275" i="13"/>
  <c r="D268" i="13"/>
  <c r="D266" i="13"/>
  <c r="D264" i="13"/>
  <c r="D261" i="13"/>
  <c r="D260" i="13" s="1"/>
  <c r="D258" i="13"/>
  <c r="D256" i="13"/>
  <c r="D255" i="13" s="1"/>
  <c r="D253" i="13"/>
  <c r="D244" i="13"/>
  <c r="D242" i="13"/>
  <c r="D240" i="13"/>
  <c r="D230" i="13"/>
  <c r="D229" i="13" s="1"/>
  <c r="D227" i="13"/>
  <c r="D226" i="13" s="1"/>
  <c r="D224" i="13"/>
  <c r="D223" i="13" s="1"/>
  <c r="D222" i="13" s="1"/>
  <c r="D215" i="13"/>
  <c r="D214" i="13" s="1"/>
  <c r="D213" i="13"/>
  <c r="D212" i="13" s="1"/>
  <c r="D210" i="13"/>
  <c r="D209" i="13" s="1"/>
  <c r="D197" i="13" s="1"/>
  <c r="D207" i="13"/>
  <c r="D174" i="13"/>
  <c r="D173" i="13" s="1"/>
  <c r="D171" i="13"/>
  <c r="D170" i="13"/>
  <c r="D169" i="13" s="1"/>
  <c r="D157" i="13"/>
  <c r="D127" i="13"/>
  <c r="D123" i="13"/>
  <c r="D111" i="13"/>
  <c r="D110" i="13" s="1"/>
  <c r="D106" i="13"/>
  <c r="D85" i="13"/>
  <c r="D84" i="13" s="1"/>
  <c r="D82" i="13"/>
  <c r="D81" i="13" s="1"/>
  <c r="D80" i="13"/>
  <c r="D72" i="13"/>
  <c r="D64" i="13"/>
  <c r="D63" i="13" s="1"/>
  <c r="D52" i="13"/>
  <c r="D37" i="13"/>
  <c r="D26" i="13"/>
  <c r="G1526" i="12"/>
  <c r="G1525" i="12" s="1"/>
  <c r="G1524" i="12" s="1"/>
  <c r="G1522" i="12"/>
  <c r="G1520" i="12"/>
  <c r="G1501" i="12"/>
  <c r="G1500" i="12" s="1"/>
  <c r="G1499" i="12" s="1"/>
  <c r="G1498" i="12" s="1"/>
  <c r="G1494" i="12"/>
  <c r="G1493" i="12" s="1"/>
  <c r="G1488" i="12"/>
  <c r="G1487" i="12" s="1"/>
  <c r="G1486" i="12" s="1"/>
  <c r="G1485" i="12" s="1"/>
  <c r="G1484" i="12" s="1"/>
  <c r="F58" i="14" s="1"/>
  <c r="G1480" i="12"/>
  <c r="G1479" i="12" s="1"/>
  <c r="G1478" i="12" s="1"/>
  <c r="G1476" i="12"/>
  <c r="G1474" i="12"/>
  <c r="G1473" i="12" s="1"/>
  <c r="G1457" i="12"/>
  <c r="G1456" i="12" s="1"/>
  <c r="G1452" i="12"/>
  <c r="G1451" i="12" s="1"/>
  <c r="G1450" i="12" s="1"/>
  <c r="G1447" i="12"/>
  <c r="G1446" i="12" s="1"/>
  <c r="G1445" i="12" s="1"/>
  <c r="G1444" i="12" s="1"/>
  <c r="G1442" i="12"/>
  <c r="G1441" i="12" s="1"/>
  <c r="G1440" i="12" s="1"/>
  <c r="G1436" i="12"/>
  <c r="G1435" i="12" s="1"/>
  <c r="G1433" i="12"/>
  <c r="G1432" i="12" s="1"/>
  <c r="G1422" i="12"/>
  <c r="G1421" i="12" s="1"/>
  <c r="G1420" i="12" s="1"/>
  <c r="G1418" i="12"/>
  <c r="G1417" i="12"/>
  <c r="G1416" i="12" s="1"/>
  <c r="G1415" i="12"/>
  <c r="G1414" i="12" s="1"/>
  <c r="G1413" i="12" s="1"/>
  <c r="G1411" i="12"/>
  <c r="G1410" i="12" s="1"/>
  <c r="G1409" i="12" s="1"/>
  <c r="G1408" i="12" s="1"/>
  <c r="G1404" i="12"/>
  <c r="G1403" i="12"/>
  <c r="G1324" i="12"/>
  <c r="G1318" i="12" s="1"/>
  <c r="G1317" i="12" s="1"/>
  <c r="G1322" i="12"/>
  <c r="G1321" i="12" s="1"/>
  <c r="G1320" i="12" s="1"/>
  <c r="G1315" i="12"/>
  <c r="G1312" i="12"/>
  <c r="G1308" i="12" s="1"/>
  <c r="G1307" i="12" s="1"/>
  <c r="G1306" i="12" s="1"/>
  <c r="G1305" i="12" s="1"/>
  <c r="G1303" i="12"/>
  <c r="G1302" i="12"/>
  <c r="G1301" i="12" s="1"/>
  <c r="G1300" i="12" s="1"/>
  <c r="G1292" i="12"/>
  <c r="G1290" i="12"/>
  <c r="G1288" i="12"/>
  <c r="G1287" i="12"/>
  <c r="G1265" i="12"/>
  <c r="G1264" i="12"/>
  <c r="G1262" i="12"/>
  <c r="G1258" i="12"/>
  <c r="G1253" i="12"/>
  <c r="G1244" i="12"/>
  <c r="G1236" i="12"/>
  <c r="G1234" i="12"/>
  <c r="G1233" i="12" s="1"/>
  <c r="G1231" i="12"/>
  <c r="G1230" i="12" s="1"/>
  <c r="G1225" i="12"/>
  <c r="G1224" i="12" s="1"/>
  <c r="G1181" i="12"/>
  <c r="G1179" i="12"/>
  <c r="G1177" i="12" s="1"/>
  <c r="G1173" i="12"/>
  <c r="G1168" i="12"/>
  <c r="G1167" i="12"/>
  <c r="G1166" i="12" s="1"/>
  <c r="G1164" i="12"/>
  <c r="G1162" i="12"/>
  <c r="G1156" i="12"/>
  <c r="G1155" i="12" s="1"/>
  <c r="G1154" i="12" s="1"/>
  <c r="G1152" i="12"/>
  <c r="G1151" i="12" s="1"/>
  <c r="G1145" i="12"/>
  <c r="G1135" i="12"/>
  <c r="G1134" i="12" s="1"/>
  <c r="G1133" i="12" s="1"/>
  <c r="G1132" i="12" s="1"/>
  <c r="F36" i="14" s="1"/>
  <c r="G1105" i="12"/>
  <c r="G1103" i="12"/>
  <c r="G1010" i="12"/>
  <c r="G934" i="12"/>
  <c r="G930" i="12" s="1"/>
  <c r="G912" i="12"/>
  <c r="G910" i="12"/>
  <c r="G905" i="12"/>
  <c r="G904" i="12" s="1"/>
  <c r="G903" i="12" s="1"/>
  <c r="G902" i="12" s="1"/>
  <c r="G898" i="12"/>
  <c r="G896" i="12"/>
  <c r="G895" i="12" s="1"/>
  <c r="G893" i="12"/>
  <c r="G891" i="12"/>
  <c r="G890" i="12" s="1"/>
  <c r="G881" i="12"/>
  <c r="G880" i="12" s="1"/>
  <c r="G879" i="12" s="1"/>
  <c r="G872" i="12"/>
  <c r="G871" i="12" s="1"/>
  <c r="G870" i="12" s="1"/>
  <c r="G867" i="12"/>
  <c r="G866" i="12" s="1"/>
  <c r="G865" i="12" s="1"/>
  <c r="G784" i="12"/>
  <c r="G783" i="12" s="1"/>
  <c r="G782" i="12" s="1"/>
  <c r="G780" i="12"/>
  <c r="G779" i="12" s="1"/>
  <c r="G776" i="12"/>
  <c r="G774" i="12"/>
  <c r="G770" i="12"/>
  <c r="G768" i="12"/>
  <c r="G767" i="12" s="1"/>
  <c r="G765" i="12"/>
  <c r="G764" i="12" s="1"/>
  <c r="G763" i="12" s="1"/>
  <c r="G761" i="12"/>
  <c r="G760" i="12" s="1"/>
  <c r="G758" i="12"/>
  <c r="G757" i="12" s="1"/>
  <c r="G754" i="12"/>
  <c r="G753" i="12" s="1"/>
  <c r="G737" i="12"/>
  <c r="G735" i="12"/>
  <c r="G734" i="12" s="1"/>
  <c r="G726" i="12"/>
  <c r="G725" i="12" s="1"/>
  <c r="G719" i="12"/>
  <c r="G718" i="12" s="1"/>
  <c r="G717" i="12" s="1"/>
  <c r="G716" i="12" s="1"/>
  <c r="G710" i="12"/>
  <c r="G708" i="12"/>
  <c r="G703" i="12"/>
  <c r="G702" i="12" s="1"/>
  <c r="G700" i="12"/>
  <c r="G699" i="12" s="1"/>
  <c r="G674" i="12"/>
  <c r="G673" i="12" s="1"/>
  <c r="G672" i="12" s="1"/>
  <c r="G671" i="12" s="1"/>
  <c r="G641" i="12"/>
  <c r="G637" i="12"/>
  <c r="G632" i="12"/>
  <c r="G630" i="12"/>
  <c r="G627" i="12"/>
  <c r="G617" i="12"/>
  <c r="G616" i="12" s="1"/>
  <c r="G615" i="12" s="1"/>
  <c r="G612" i="12"/>
  <c r="G609" i="12"/>
  <c r="G608" i="12" s="1"/>
  <c r="G600" i="12"/>
  <c r="G599" i="12" s="1"/>
  <c r="G597" i="12"/>
  <c r="G596" i="12" s="1"/>
  <c r="G593" i="12"/>
  <c r="G587" i="12" s="1"/>
  <c r="G583" i="12"/>
  <c r="G582" i="12" s="1"/>
  <c r="G576" i="12"/>
  <c r="G575" i="12" s="1"/>
  <c r="G574" i="12" s="1"/>
  <c r="G573" i="12" s="1"/>
  <c r="G566" i="12"/>
  <c r="G565" i="12" s="1"/>
  <c r="G563" i="12"/>
  <c r="G562" i="12"/>
  <c r="G559" i="12"/>
  <c r="G558" i="12" s="1"/>
  <c r="G556" i="12"/>
  <c r="G550" i="12" s="1"/>
  <c r="G554" i="12"/>
  <c r="G543" i="12"/>
  <c r="G542" i="12" s="1"/>
  <c r="G541" i="12" s="1"/>
  <c r="G540" i="12" s="1"/>
  <c r="F19" i="14" s="1"/>
  <c r="G538" i="12"/>
  <c r="G537" i="12" s="1"/>
  <c r="G536" i="12" s="1"/>
  <c r="G535" i="12" s="1"/>
  <c r="F16" i="14" s="1"/>
  <c r="G516" i="12"/>
  <c r="G515" i="12" s="1"/>
  <c r="G514" i="12" s="1"/>
  <c r="G511" i="12"/>
  <c r="G508" i="12"/>
  <c r="G500" i="12"/>
  <c r="G498" i="12" s="1"/>
  <c r="G497" i="12" s="1"/>
  <c r="G496" i="12" s="1"/>
  <c r="G495" i="12" s="1"/>
  <c r="G488" i="12"/>
  <c r="G487" i="12" s="1"/>
  <c r="G486" i="12" s="1"/>
  <c r="G485" i="12" s="1"/>
  <c r="G484" i="12" s="1"/>
  <c r="G483" i="12" s="1"/>
  <c r="G469" i="12"/>
  <c r="G466" i="12"/>
  <c r="G463" i="12"/>
  <c r="G461" i="12"/>
  <c r="G460" i="12" s="1"/>
  <c r="G457" i="12"/>
  <c r="G455" i="12"/>
  <c r="G454" i="12" s="1"/>
  <c r="G452" i="12"/>
  <c r="G450" i="12"/>
  <c r="G445" i="12" s="1"/>
  <c r="G430" i="12"/>
  <c r="G429" i="12" s="1"/>
  <c r="G428" i="12" s="1"/>
  <c r="G427" i="12" s="1"/>
  <c r="F63" i="14" s="1"/>
  <c r="G423" i="12"/>
  <c r="G422" i="12" s="1"/>
  <c r="G421" i="12" s="1"/>
  <c r="G420" i="12" s="1"/>
  <c r="G419" i="12" s="1"/>
  <c r="G417" i="12"/>
  <c r="G415" i="12"/>
  <c r="G414" i="12" s="1"/>
  <c r="G402" i="12"/>
  <c r="G401" i="12" s="1"/>
  <c r="G400" i="12" s="1"/>
  <c r="F20" i="14" s="1"/>
  <c r="G392" i="12"/>
  <c r="G389" i="12"/>
  <c r="G381" i="12"/>
  <c r="G380" i="12" s="1"/>
  <c r="G379" i="12" s="1"/>
  <c r="G378" i="12" s="1"/>
  <c r="G377" i="12" s="1"/>
  <c r="G376" i="12" s="1"/>
  <c r="G372" i="12"/>
  <c r="G371" i="12" s="1"/>
  <c r="G362" i="12"/>
  <c r="G361" i="12" s="1"/>
  <c r="G360" i="12" s="1"/>
  <c r="G357" i="12"/>
  <c r="G356" i="12" s="1"/>
  <c r="G355" i="12" s="1"/>
  <c r="G353" i="12"/>
  <c r="G351" i="12"/>
  <c r="G348" i="12"/>
  <c r="G347" i="12" s="1"/>
  <c r="G345" i="12"/>
  <c r="G343" i="12"/>
  <c r="G334" i="12"/>
  <c r="G333" i="12" s="1"/>
  <c r="G326" i="12" s="1"/>
  <c r="G309" i="12"/>
  <c r="G304" i="12"/>
  <c r="G303" i="12" s="1"/>
  <c r="G301" i="12"/>
  <c r="G298" i="12"/>
  <c r="G292" i="12"/>
  <c r="G288" i="12"/>
  <c r="G271" i="12"/>
  <c r="G269" i="12"/>
  <c r="G268" i="12" s="1"/>
  <c r="G256" i="12"/>
  <c r="G248" i="12"/>
  <c r="G243" i="12"/>
  <c r="G241" i="12"/>
  <c r="G238" i="12"/>
  <c r="G237" i="12" s="1"/>
  <c r="G230" i="12"/>
  <c r="G229" i="12" s="1"/>
  <c r="G228" i="12" s="1"/>
  <c r="G205" i="12"/>
  <c r="G204" i="12" s="1"/>
  <c r="G203" i="12" s="1"/>
  <c r="G202" i="12" s="1"/>
  <c r="G200" i="12"/>
  <c r="G197" i="12"/>
  <c r="G181" i="12"/>
  <c r="G180" i="12" s="1"/>
  <c r="G138" i="12"/>
  <c r="G128" i="12" s="1"/>
  <c r="G126" i="12"/>
  <c r="G124" i="12"/>
  <c r="G123" i="12" s="1"/>
  <c r="G122" i="12" s="1"/>
  <c r="G121" i="12" s="1"/>
  <c r="G118" i="12"/>
  <c r="G107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1449" i="12" l="1"/>
  <c r="G444" i="12"/>
  <c r="G1268" i="12"/>
  <c r="D247" i="13"/>
  <c r="D547" i="13"/>
  <c r="D546" i="13" s="1"/>
  <c r="D341" i="13"/>
  <c r="G1229" i="12"/>
  <c r="G234" i="12"/>
  <c r="G233" i="12" s="1"/>
  <c r="G255" i="12"/>
  <c r="G1009" i="12"/>
  <c r="G1008" i="12" s="1"/>
  <c r="G308" i="12"/>
  <c r="G307" i="12" s="1"/>
  <c r="G306" i="12"/>
  <c r="D221" i="13"/>
  <c r="G1176" i="12"/>
  <c r="G1175" i="12" s="1"/>
  <c r="D851" i="13"/>
  <c r="G889" i="12"/>
  <c r="G878" i="12" s="1"/>
  <c r="G929" i="12"/>
  <c r="G1242" i="12"/>
  <c r="G1241" i="12" s="1"/>
  <c r="G1240" i="12" s="1"/>
  <c r="F24" i="14"/>
  <c r="F22" i="14" s="1"/>
  <c r="G196" i="12"/>
  <c r="G179" i="12" s="1"/>
  <c r="G178" i="12" s="1"/>
  <c r="G177" i="12" s="1"/>
  <c r="G561" i="12"/>
  <c r="D478" i="13"/>
  <c r="G1448" i="12"/>
  <c r="F37" i="14"/>
  <c r="F35" i="14" s="1"/>
  <c r="G1144" i="12"/>
  <c r="G1143" i="12" s="1"/>
  <c r="G411" i="12"/>
  <c r="G53" i="12"/>
  <c r="G1227" i="12"/>
  <c r="G1223" i="12" s="1"/>
  <c r="D849" i="13"/>
  <c r="D848" i="13" s="1"/>
  <c r="D842" i="13" s="1"/>
  <c r="G1402" i="12"/>
  <c r="F55" i="14"/>
  <c r="G11" i="12"/>
  <c r="G10" i="12" s="1"/>
  <c r="G426" i="12"/>
  <c r="F62" i="14"/>
  <c r="D834" i="13"/>
  <c r="D833" i="13" s="1"/>
  <c r="D832" i="13" s="1"/>
  <c r="D298" i="13"/>
  <c r="D418" i="13"/>
  <c r="D301" i="13"/>
  <c r="D114" i="13"/>
  <c r="D936" i="13"/>
  <c r="D935" i="13" s="1"/>
  <c r="D926" i="13"/>
  <c r="D925" i="13" s="1"/>
  <c r="D372" i="13"/>
  <c r="D371" i="13" s="1"/>
  <c r="D395" i="13"/>
  <c r="D867" i="13"/>
  <c r="D866" i="13" s="1"/>
  <c r="D884" i="13"/>
  <c r="D387" i="13"/>
  <c r="D919" i="13"/>
  <c r="D918" i="13" s="1"/>
  <c r="D159" i="13"/>
  <c r="D272" i="13"/>
  <c r="D271" i="13" s="1"/>
  <c r="D270" i="13" s="1"/>
  <c r="D922" i="13"/>
  <c r="D69" i="13"/>
  <c r="D347" i="13"/>
  <c r="D346" i="13" s="1"/>
  <c r="D153" i="13"/>
  <c r="D263" i="13"/>
  <c r="D262" i="13" s="1"/>
  <c r="D456" i="13"/>
  <c r="D455" i="13" s="1"/>
  <c r="D454" i="13" s="1"/>
  <c r="D809" i="13"/>
  <c r="D971" i="13"/>
  <c r="D970" i="13" s="1"/>
  <c r="D143" i="13"/>
  <c r="D166" i="13"/>
  <c r="D165" i="13" s="1"/>
  <c r="D181" i="13"/>
  <c r="D180" i="13" s="1"/>
  <c r="D827" i="13"/>
  <c r="D140" i="13"/>
  <c r="D211" i="13"/>
  <c r="D191" i="13" s="1"/>
  <c r="D383" i="13"/>
  <c r="D379" i="13" s="1"/>
  <c r="D400" i="13"/>
  <c r="D399" i="13" s="1"/>
  <c r="D465" i="13"/>
  <c r="D464" i="13" s="1"/>
  <c r="D565" i="13"/>
  <c r="D239" i="13"/>
  <c r="D238" i="13" s="1"/>
  <c r="D257" i="13"/>
  <c r="D537" i="13"/>
  <c r="D503" i="13" s="1"/>
  <c r="D33" i="13"/>
  <c r="D78" i="13"/>
  <c r="D119" i="13"/>
  <c r="D184" i="13"/>
  <c r="D411" i="13"/>
  <c r="G864" i="12"/>
  <c r="G607" i="12"/>
  <c r="G606" i="12" s="1"/>
  <c r="G315" i="12"/>
  <c r="G314" i="12" s="1"/>
  <c r="G313" i="12" s="1"/>
  <c r="F48" i="14" s="1"/>
  <c r="G42" i="12"/>
  <c r="G29" i="12"/>
  <c r="G459" i="12"/>
  <c r="G636" i="12"/>
  <c r="G635" i="12" s="1"/>
  <c r="G626" i="12"/>
  <c r="G625" i="12" s="1"/>
  <c r="G707" i="12"/>
  <c r="G706" i="12" s="1"/>
  <c r="G756" i="12"/>
  <c r="G724" i="12" s="1"/>
  <c r="G773" i="12"/>
  <c r="G772" i="12" s="1"/>
  <c r="G778" i="12"/>
  <c r="G1431" i="12"/>
  <c r="G1430" i="12" s="1"/>
  <c r="G494" i="12"/>
  <c r="F12" i="14" s="1"/>
  <c r="G1161" i="12"/>
  <c r="G1160" i="12" s="1"/>
  <c r="G1159" i="12" s="1"/>
  <c r="G1158" i="12" s="1"/>
  <c r="G1150" i="12" s="1"/>
  <c r="G1149" i="12" s="1"/>
  <c r="G297" i="12"/>
  <c r="G296" i="12" s="1"/>
  <c r="F56" i="14"/>
  <c r="F60" i="14"/>
  <c r="G112" i="12"/>
  <c r="G85" i="12" s="1"/>
  <c r="G84" i="12" s="1"/>
  <c r="G1439" i="12"/>
  <c r="G1519" i="12"/>
  <c r="G1518" i="12" s="1"/>
  <c r="G909" i="12"/>
  <c r="G908" i="12" s="1"/>
  <c r="G907" i="12" s="1"/>
  <c r="G901" i="12" s="1"/>
  <c r="G267" i="12"/>
  <c r="G287" i="12"/>
  <c r="G286" i="12" s="1"/>
  <c r="G388" i="12"/>
  <c r="G387" i="12" s="1"/>
  <c r="G386" i="12" s="1"/>
  <c r="G507" i="12"/>
  <c r="G506" i="12" s="1"/>
  <c r="G521" i="12"/>
  <c r="G520" i="12" s="1"/>
  <c r="G519" i="12" s="1"/>
  <c r="G586" i="12"/>
  <c r="G578" i="12" s="1"/>
  <c r="G359" i="12"/>
  <c r="G698" i="12"/>
  <c r="G697" i="12" s="1"/>
  <c r="G342" i="12"/>
  <c r="G350" i="12"/>
  <c r="G549" i="12"/>
  <c r="G548" i="12" s="1"/>
  <c r="G1472" i="12"/>
  <c r="G1471" i="12" s="1"/>
  <c r="D287" i="13" l="1"/>
  <c r="D282" i="13" s="1"/>
  <c r="G928" i="12"/>
  <c r="F32" i="14" s="1"/>
  <c r="D113" i="13"/>
  <c r="D562" i="13"/>
  <c r="D561" i="13" s="1"/>
  <c r="G28" i="12"/>
  <c r="G21" i="12" s="1"/>
  <c r="G20" i="12" s="1"/>
  <c r="D386" i="13"/>
  <c r="D164" i="13"/>
  <c r="G1222" i="12"/>
  <c r="G1211" i="12" s="1"/>
  <c r="D453" i="13"/>
  <c r="D591" i="13"/>
  <c r="D590" i="13" s="1"/>
  <c r="F41" i="14"/>
  <c r="D850" i="13"/>
  <c r="G385" i="12"/>
  <c r="G384" i="12" s="1"/>
  <c r="G862" i="12"/>
  <c r="F29" i="14" s="1"/>
  <c r="G41" i="12"/>
  <c r="G40" i="12" s="1"/>
  <c r="D17" i="13"/>
  <c r="D340" i="13"/>
  <c r="G992" i="12"/>
  <c r="G991" i="12" s="1"/>
  <c r="G990" i="12" s="1"/>
  <c r="D370" i="13"/>
  <c r="G723" i="12"/>
  <c r="G1517" i="12"/>
  <c r="F61" i="14" s="1"/>
  <c r="F59" i="14" s="1"/>
  <c r="G83" i="12"/>
  <c r="F31" i="14"/>
  <c r="G407" i="12"/>
  <c r="G406" i="12" s="1"/>
  <c r="G405" i="12" s="1"/>
  <c r="G1131" i="12"/>
  <c r="D878" i="13"/>
  <c r="D877" i="13" s="1"/>
  <c r="G547" i="12"/>
  <c r="G312" i="12"/>
  <c r="G1280" i="12"/>
  <c r="G1279" i="12" s="1"/>
  <c r="G1117" i="12"/>
  <c r="G1102" i="12" s="1"/>
  <c r="D917" i="13"/>
  <c r="D916" i="13" s="1"/>
  <c r="D68" i="13"/>
  <c r="D152" i="13"/>
  <c r="D410" i="13"/>
  <c r="D409" i="13" s="1"/>
  <c r="G443" i="12"/>
  <c r="G442" i="12" s="1"/>
  <c r="D246" i="13"/>
  <c r="G624" i="12"/>
  <c r="G622" i="12" s="1"/>
  <c r="G285" i="12"/>
  <c r="G227" i="12"/>
  <c r="G226" i="12" s="1"/>
  <c r="G505" i="12"/>
  <c r="G504" i="12" s="1"/>
  <c r="G1429" i="12"/>
  <c r="G1401" i="12" s="1"/>
  <c r="G696" i="12"/>
  <c r="F26" i="14" s="1"/>
  <c r="G341" i="12"/>
  <c r="G340" i="12" s="1"/>
  <c r="G339" i="12" s="1"/>
  <c r="D369" i="13" l="1"/>
  <c r="D16" i="13"/>
  <c r="D15" i="13" s="1"/>
  <c r="F44" i="14"/>
  <c r="G39" i="12"/>
  <c r="F39" i="14" s="1"/>
  <c r="F14" i="14"/>
  <c r="I10" i="14" s="1"/>
  <c r="G383" i="12"/>
  <c r="F21" i="14"/>
  <c r="G1278" i="12"/>
  <c r="G1490" i="12"/>
  <c r="D502" i="13"/>
  <c r="G441" i="12"/>
  <c r="F43" i="14"/>
  <c r="G722" i="12"/>
  <c r="F28" i="14" s="1"/>
  <c r="F25" i="14" s="1"/>
  <c r="D841" i="13"/>
  <c r="F40" i="14"/>
  <c r="D805" i="13"/>
  <c r="G325" i="12"/>
  <c r="F57" i="14"/>
  <c r="F54" i="14" s="1"/>
  <c r="D237" i="13"/>
  <c r="G1148" i="12"/>
  <c r="G284" i="12"/>
  <c r="D13" i="13" l="1"/>
  <c r="F11" i="14"/>
  <c r="G493" i="12"/>
  <c r="G965" i="12"/>
  <c r="F33" i="14" s="1"/>
  <c r="F30" i="14" s="1"/>
  <c r="G440" i="12"/>
  <c r="G432" i="12" s="1"/>
  <c r="F47" i="14"/>
  <c r="F46" i="14" s="1"/>
  <c r="G695" i="12"/>
  <c r="G38" i="12"/>
  <c r="G19" i="12" s="1"/>
  <c r="F45" i="14"/>
  <c r="F38" i="14" s="1"/>
  <c r="F10" i="14" l="1"/>
  <c r="G900" i="12"/>
  <c r="G492" i="12" s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4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911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<sst xmlns="http://schemas.openxmlformats.org/spreadsheetml/2006/main" count="11071" uniqueCount="1179">
  <si>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</si>
  <si>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</si>
  <si>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</si>
  <si>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</si>
  <si>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</si>
  <si>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</si>
  <si>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</si>
  <si>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</si>
  <si>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</si>
  <si>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</si>
  <si>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</si>
  <si>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</si>
  <si>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</si>
  <si>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</si>
  <si>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</si>
  <si>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</si>
  <si>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</si>
  <si>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</si>
  <si>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</si>
  <si>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</si>
  <si>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</si>
  <si>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</si>
  <si>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</si>
  <si>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</si>
  <si>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</si>
  <si>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</si>
  <si>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</si>
  <si>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</si>
  <si>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</si>
  <si>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</si>
  <si>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</si>
  <si>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</si>
  <si>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</si>
  <si>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</si>
  <si>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</si>
  <si>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</si>
  <si>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</si>
  <si>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</si>
  <si>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</si>
  <si>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</si>
  <si>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</si>
  <si>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</si>
  <si>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</si>
  <si>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</si>
  <si>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</si>
  <si>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</si>
  <si>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</si>
  <si>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</si>
  <si>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</si>
  <si>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</si>
  <si>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</si>
  <si>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</si>
  <si>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</si>
  <si>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</si>
  <si>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</si>
  <si>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</si>
  <si>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</si>
  <si>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</si>
  <si>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</si>
  <si>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</si>
  <si>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</si>
  <si>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</si>
  <si>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</si>
  <si>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</si>
  <si>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</si>
  <si>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</si>
  <si>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</si>
  <si>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</si>
  <si>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</si>
  <si>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</si>
  <si>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</si>
  <si>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</si>
  <si>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</si>
  <si>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</si>
  <si>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</si>
  <si>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</si>
  <si>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</si>
  <si>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</si>
  <si>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</si>
  <si>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</si>
  <si>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</si>
  <si>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</si>
  <si>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</si>
  <si>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</si>
  <si>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</si>
  <si>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</si>
  <si>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</si>
  <si>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</si>
  <si>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</si>
  <si>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</si>
  <si>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</si>
  <si>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</si>
  <si>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</si>
  <si>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</si>
  <si>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</si>
  <si>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</si>
  <si>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</si>
  <si>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</si>
  <si>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</si>
  <si>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</si>
  <si>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</si>
  <si>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</si>
  <si>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</si>
  <si>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</si>
  <si>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</si>
  <si>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</si>
  <si>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</si>
  <si>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</si>
  <si>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</si>
  <si>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</si>
  <si>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</si>
  <si>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</si>
  <si>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</si>
  <si>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</si>
  <si>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</si>
  <si>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</si>
  <si>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</si>
  <si>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</si>
  <si>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</si>
  <si>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</si>
  <si>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</si>
  <si>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</si>
  <si>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</si>
  <si>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</si>
  <si>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</si>
  <si>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</si>
  <si>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</si>
  <si>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</si>
  <si>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</si>
  <si>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</si>
  <si>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</si>
  <si>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</si>
  <si>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</si>
  <si>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</si>
  <si>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</si>
  <si>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</si>
  <si>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</si>
  <si>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</si>
  <si>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</si>
  <si>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</si>
  <si>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</si>
  <si>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</si>
  <si>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</si>
  <si>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</si>
  <si>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</si>
  <si>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</si>
  <si>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</si>
  <si>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</si>
  <si>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</si>
  <si>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</si>
  <si>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</si>
  <si>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</si>
  <si>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</si>
  <si>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</si>
  <si>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</si>
  <si>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</si>
  <si>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</si>
  <si>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</si>
  <si>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</si>
  <si>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</si>
  <si>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</si>
  <si>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</si>
  <si>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</si>
  <si>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</si>
  <si>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</si>
  <si>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</si>
  <si>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</si>
  <si>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</si>
  <si>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</si>
  <si>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</si>
  <si>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</si>
  <si>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</si>
  <si>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</si>
  <si>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</si>
  <si>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</si>
  <si>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</si>
  <si>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</si>
  <si>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</si>
  <si>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</si>
  <si>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</si>
  <si>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</si>
  <si>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</si>
  <si>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</si>
  <si>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</si>
  <si>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</si>
  <si>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</si>
  <si>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</si>
  <si>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</si>
  <si>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</si>
  <si>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</si>
  <si>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</si>
  <si>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</si>
  <si>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</si>
  <si>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</si>
  <si>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</si>
  <si>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</si>
  <si>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</si>
  <si>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</si>
  <si>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</si>
  <si>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</si>
  <si>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</si>
  <si>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</si>
  <si>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</si>
  <si>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</si>
  <si>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</si>
  <si>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</si>
  <si>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</si>
  <si>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</si>
  <si>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</si>
  <si>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</si>
  <si>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</si>
  <si>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</si>
  <si>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</si>
  <si>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</si>
  <si>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</si>
  <si>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</si>
  <si>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</si>
  <si>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</si>
  <si>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</si>
  <si>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</si>
  <si>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</si>
  <si>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</si>
  <si>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</si>
  <si>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</si>
  <si>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</si>
  <si>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</si>
  <si>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</si>
  <si>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</si>
  <si>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</si>
  <si>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</si>
  <si>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</si>
  <si>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</si>
  <si>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</si>
  <si>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</si>
  <si>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</si>
  <si>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</si>
  <si>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</si>
  <si>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</si>
  <si>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</si>
  <si>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</si>
  <si>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</si>
  <si>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</si>
  <si>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</si>
  <si>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</si>
  <si>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</si>
  <si>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</si>
  <si>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</si>
  <si>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</si>
  <si>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</si>
  <si>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</si>
  <si>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</si>
  <si>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</si>
  <si>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</si>
  <si>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</si>
  <si>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</si>
  <si>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</si>
  <si>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</si>
  <si>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</si>
  <si>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</si>
  <si>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</si>
  <si>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</si>
  <si>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</si>
  <si>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</si>
  <si>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</si>
  <si>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</si>
  <si>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</si>
  <si>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</si>
  <si>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</si>
  <si>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</si>
  <si>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</si>
  <si>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</si>
  <si>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</si>
  <si>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</si>
  <si>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</si>
  <si>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</si>
  <si>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</si>
  <si>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</si>
  <si>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</si>
  <si>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</si>
  <si>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</si>
  <si>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</si>
  <si>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</si>
  <si>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</si>
  <si>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</si>
  <si>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</si>
  <si>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</si>
  <si>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</si>
  <si>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</si>
  <si>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</si>
  <si>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</si>
  <si>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</si>
  <si>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</si>
  <si>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</si>
  <si>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</si>
  <si>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</si>
  <si>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</si>
  <si>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</si>
  <si>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</si>
  <si>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</si>
  <si>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</si>
  <si>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</si>
  <si>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</si>
  <si>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</si>
  <si>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</si>
  <si>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</si>
  <si>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</si>
  <si>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</si>
  <si>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</si>
  <si>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</si>
  <si>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</si>
  <si>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</si>
  <si>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</si>
  <si>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</si>
  <si>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</si>
  <si>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</si>
  <si>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</si>
  <si>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</si>
  <si>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</si>
  <si>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</si>
  <si>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</si>
  <si>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</si>
  <si>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</si>
  <si>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</si>
  <si>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</si>
  <si>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</si>
  <si>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</si>
  <si>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</si>
  <si>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</si>
  <si>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</si>
  <si>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</si>
  <si>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</si>
  <si>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</si>
  <si>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</si>
  <si>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</si>
  <si>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</si>
  <si>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</si>
  <si>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</si>
  <si>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</si>
  <si>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</si>
  <si>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</si>
  <si>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</si>
  <si>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</si>
  <si>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</si>
  <si>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</si>
  <si>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</si>
  <si>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</si>
  <si>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</si>
  <si>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</si>
  <si>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</si>
  <si>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</si>
  <si>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</si>
  <si>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</si>
  <si>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</si>
  <si>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</si>
  <si>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</si>
  <si>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</si>
  <si>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</si>
  <si>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</si>
  <si>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</si>
  <si>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</si>
  <si>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</si>
  <si>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</si>
  <si>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</si>
  <si>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</si>
  <si>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</si>
  <si>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</si>
  <si>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</si>
  <si>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</si>
  <si>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</si>
  <si>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</si>
  <si>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</si>
  <si>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</si>
  <si>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</si>
  <si>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</si>
  <si>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</si>
  <si>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</si>
  <si>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</si>
  <si>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</si>
  <si>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</si>
  <si>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</si>
  <si>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</si>
  <si>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</si>
  <si>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</si>
  <si>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</si>
  <si>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</si>
  <si>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</si>
  <si>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</si>
  <si>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</si>
  <si>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</si>
  <si>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</si>
  <si>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</si>
  <si>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</si>
  <si>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</si>
  <si>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</si>
  <si>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</si>
  <si>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</si>
  <si>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</si>
  <si>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</si>
  <si>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</si>
  <si>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</si>
  <si>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</si>
  <si>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</si>
  <si>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</si>
  <si>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</si>
  <si>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</si>
  <si>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</si>
  <si>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</si>
  <si>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</si>
  <si>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</si>
  <si>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</si>
  <si>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</si>
  <si>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</si>
  <si>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</si>
  <si>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</si>
  <si>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</si>
  <si>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</si>
  <si>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</si>
  <si>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</si>
  <si>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</si>
  <si>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</si>
  <si>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</si>
  <si>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</si>
  <si>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</si>
  <si>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</si>
  <si>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</si>
  <si>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</si>
  <si>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</si>
  <si>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</si>
  <si>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</si>
  <si>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</si>
  <si>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</si>
  <si>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</si>
  <si>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</si>
  <si>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</si>
  <si>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</si>
  <si>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</si>
  <si>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</si>
  <si>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</si>
  <si>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</si>
  <si>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</si>
  <si>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</si>
  <si>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</si>
  <si>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</si>
  <si>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</si>
  <si>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</si>
  <si>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</si>
  <si>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</si>
  <si>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</si>
  <si>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</si>
  <si>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</si>
  <si>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</si>
  <si>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</si>
  <si>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</si>
  <si>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</si>
  <si>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</si>
  <si>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</si>
  <si>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</si>
  <si>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</si>
  <si>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</si>
  <si>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</si>
  <si>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</si>
  <si>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</si>
  <si>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</si>
  <si>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</si>
  <si>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</si>
  <si>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</si>
  <si>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</si>
  <si>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</si>
  <si>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</si>
  <si>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</si>
  <si>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</si>
  <si>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</si>
  <si>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</si>
  <si>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</si>
  <si>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</si>
  <si>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</si>
  <si>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</si>
  <si>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</si>
  <si>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</si>
  <si>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</si>
  <si>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</si>
  <si>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</si>
  <si>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</si>
  <si>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</si>
  <si>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</si>
  <si>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</si>
  <si>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</si>
  <si>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</si>
  <si>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</si>
  <si>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</si>
  <si>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</si>
  <si>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</si>
  <si>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</si>
  <si>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</si>
  <si>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</si>
  <si>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</si>
  <si>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</si>
  <si>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</si>
  <si>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</si>
  <si>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</si>
  <si>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</si>
  <si>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</si>
  <si>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</si>
  <si>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</si>
  <si>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</si>
  <si>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</si>
  <si>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</si>
  <si>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</si>
  <si>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</si>
  <si>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</si>
  <si>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</si>
  <si>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</si>
  <si>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</si>
  <si>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</si>
  <si>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</si>
  <si>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</si>
  <si>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</si>
  <si>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</si>
  <si>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</si>
  <si>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</si>
  <si>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</si>
  <si>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</si>
  <si>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</si>
  <si>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</si>
  <si>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</si>
  <si>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</si>
  <si>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</si>
  <si>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</si>
  <si>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</si>
  <si>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</si>
  <si>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</si>
  <si>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</si>
  <si>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</si>
  <si>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</si>
  <si>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</si>
  <si>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</si>
  <si>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</si>
  <si>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</si>
  <si>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</si>
  <si>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</si>
  <si>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</si>
  <si>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</si>
  <si>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</si>
  <si>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</si>
  <si>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</si>
  <si>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</si>
  <si>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</si>
  <si>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</si>
  <si>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</si>
  <si>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</si>
  <si>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</si>
  <si>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</si>
  <si>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</si>
  <si>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</si>
  <si>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</si>
  <si>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</si>
  <si>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</si>
  <si>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</si>
  <si>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</si>
  <si>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</si>
  <si>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</si>
  <si>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</si>
  <si>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</si>
  <si>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</si>
  <si>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</si>
  <si>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</si>
  <si>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</si>
  <si>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</si>
  <si>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</si>
  <si>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</si>
  <si>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</si>
  <si>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</si>
  <si>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</si>
  <si>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</si>
  <si>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</si>
  <si>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</si>
  <si>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</si>
  <si>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</si>
  <si>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</si>
  <si>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</si>
  <si>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</si>
  <si>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</si>
  <si>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</si>
  <si>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</si>
  <si>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</si>
  <si>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</si>
  <si>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</si>
  <si>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</si>
  <si>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</si>
  <si>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</si>
  <si>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</si>
  <si>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</si>
  <si>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</si>
  <si>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</si>
  <si>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</si>
  <si>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</si>
  <si>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</si>
  <si>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</si>
  <si>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S5175</t>
  </si>
  <si>
    <t>06400 S5171</t>
  </si>
  <si>
    <t>06400 1517П</t>
  </si>
  <si>
    <t>06400 15175</t>
  </si>
  <si>
    <t>06400 15171</t>
  </si>
  <si>
    <t>06400 0439П</t>
  </si>
  <si>
    <t>06400 0439М</t>
  </si>
  <si>
    <t>06400 04395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</si>
  <si>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</si>
  <si>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</si>
  <si>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</si>
  <si>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</si>
  <si>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</si>
  <si>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</si>
  <si>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</si>
  <si>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</si>
  <si>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</si>
  <si>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</si>
  <si>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</si>
  <si>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</si>
  <si>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</si>
  <si>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</si>
  <si>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</si>
  <si>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</si>
  <si>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</si>
  <si>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</si>
  <si>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</si>
  <si>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</si>
  <si>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</si>
  <si>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</si>
  <si>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</si>
  <si>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</si>
  <si>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</si>
  <si>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</si>
  <si>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</si>
  <si>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</si>
  <si>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</si>
  <si>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</si>
  <si>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</si>
  <si>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</si>
  <si>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</si>
  <si>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</si>
  <si>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</si>
  <si>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</si>
  <si>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</si>
  <si>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</si>
  <si>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</si>
  <si>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</si>
  <si>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</si>
  <si>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</si>
  <si>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</si>
  <si>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</si>
  <si>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</si>
  <si>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</si>
  <si>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</si>
  <si>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</si>
  <si>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</si>
  <si>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</si>
  <si>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</si>
  <si>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</si>
  <si>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</si>
  <si>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</si>
  <si>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</si>
  <si>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</si>
  <si>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</si>
  <si>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</si>
  <si>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</si>
  <si>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</si>
  <si>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</si>
  <si>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</si>
  <si>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</si>
  <si>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</si>
  <si>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</si>
  <si>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</si>
  <si>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</si>
  <si>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</si>
  <si>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</si>
  <si>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</si>
  <si>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</si>
  <si>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</si>
  <si>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</si>
  <si>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</si>
  <si>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</si>
  <si>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</si>
  <si>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</si>
  <si>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</si>
  <si>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</si>
  <si>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</si>
  <si>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</si>
  <si>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</si>
  <si>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</si>
  <si>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</si>
  <si>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</si>
  <si>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</si>
  <si>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</si>
  <si>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</si>
  <si>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</si>
  <si>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</si>
  <si>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</si>
  <si>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</si>
  <si>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</si>
  <si>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</si>
  <si>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</si>
  <si>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</si>
  <si>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</si>
  <si>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</si>
  <si>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</si>
  <si>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</si>
  <si>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</si>
  <si>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</si>
  <si>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</si>
  <si>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</si>
  <si>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</si>
  <si>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</si>
  <si>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</si>
  <si>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</si>
  <si>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</si>
  <si>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</si>
  <si>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</si>
  <si>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</si>
  <si>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</si>
  <si>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</si>
  <si>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</si>
  <si>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</si>
  <si>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</si>
  <si>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</si>
  <si>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</si>
  <si>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</si>
  <si>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</si>
  <si>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</si>
  <si>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</si>
  <si>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</si>
  <si>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</si>
  <si>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</si>
  <si>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</si>
  <si>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</si>
  <si>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</si>
  <si>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</si>
  <si>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</si>
  <si>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</si>
  <si>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</si>
  <si>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</si>
  <si>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</si>
  <si>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</si>
  <si>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</si>
  <si>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</si>
  <si>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</si>
  <si>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</si>
  <si>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</si>
  <si>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</si>
  <si>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</si>
  <si>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</si>
  <si>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</si>
  <si>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</si>
  <si>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</si>
  <si>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</si>
  <si>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</si>
  <si>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</si>
  <si>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</si>
  <si>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</si>
  <si>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</si>
  <si>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</si>
  <si>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</si>
  <si>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</si>
  <si>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</si>
  <si>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</si>
  <si>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</si>
  <si>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</si>
  <si>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</si>
  <si>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</si>
  <si>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</si>
  <si>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</si>
  <si>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</si>
  <si>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</si>
  <si>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</si>
  <si>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</si>
  <si>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</si>
  <si>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</si>
  <si>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</si>
  <si>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</si>
  <si>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</si>
  <si>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</si>
  <si>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</si>
  <si>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</si>
  <si>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</si>
  <si>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</si>
  <si>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</si>
  <si>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</si>
  <si>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</si>
  <si>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</si>
  <si>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</si>
  <si>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</si>
  <si>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</si>
  <si>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</si>
  <si>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</si>
  <si>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</si>
  <si>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</si>
  <si>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</si>
  <si>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</si>
  <si>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</si>
  <si>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</si>
  <si>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</si>
  <si>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</si>
  <si>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</si>
  <si>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</si>
  <si>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</si>
  <si>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</si>
  <si>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</si>
  <si>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</si>
  <si>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</si>
  <si>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011Q0 16170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</si>
  <si>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</si>
  <si>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</si>
  <si>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</si>
  <si>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</si>
  <si>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</si>
  <si>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</si>
  <si>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</si>
  <si>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</si>
  <si>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</si>
  <si>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</si>
  <si>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</si>
  <si>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</si>
  <si>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</si>
  <si>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Мероприятия за счет добровольных пожертвований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</si>
  <si>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</si>
  <si>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>06UOF 15170</t>
  </si>
  <si>
    <t>06UOF 15171</t>
  </si>
  <si>
    <t>06UOF 04390</t>
  </si>
  <si>
    <t>06UOF 04391</t>
  </si>
  <si>
    <t>06UOF S5171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</si>
  <si>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</si>
  <si>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</si>
  <si>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</si>
  <si>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</si>
  <si>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</si>
  <si>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</si>
  <si>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06UOF 1517А</t>
  </si>
  <si>
    <t>06UOF S517А</t>
  </si>
  <si>
    <t>06UOF 0439А</t>
  </si>
  <si>
    <t>Инвестиционные программы и проекты развития общественной инфраструктуры муниципальных образований в Кировской области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</si>
  <si>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Слободскойй)</t>
  </si>
  <si>
    <t>06UOF15170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</si>
  <si>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</si>
  <si>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</si>
  <si>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</si>
  <si>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02Q00 16010</t>
  </si>
  <si>
    <t>04Q00 16040</t>
  </si>
  <si>
    <t>04Q00 16000</t>
  </si>
  <si>
    <t>09Q00 16000</t>
  </si>
  <si>
    <t>09Q00 16050</t>
  </si>
  <si>
    <t>04Q00 16080</t>
  </si>
  <si>
    <t>04Q00 16130</t>
  </si>
  <si>
    <t>04Q00 16060</t>
  </si>
  <si>
    <t>01Q00 17000</t>
  </si>
  <si>
    <t>01Q00 17010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</si>
  <si>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</si>
  <si>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</si>
  <si>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</si>
  <si>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</si>
  <si>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</si>
  <si>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</si>
  <si>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</si>
  <si>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</si>
  <si>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</si>
  <si>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</si>
  <si>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</si>
  <si>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09Q00S5560</t>
  </si>
  <si>
    <t>02Q00 L5190</t>
  </si>
  <si>
    <t>01ЯA1 L5190</t>
  </si>
  <si>
    <t>06Q00 15000</t>
  </si>
  <si>
    <t>01Q00 L3040</t>
  </si>
  <si>
    <t>10Q00 00000</t>
  </si>
  <si>
    <t>10Q00 15140</t>
  </si>
  <si>
    <t>10Q00 S5140</t>
  </si>
  <si>
    <t>04Q00 15160</t>
  </si>
  <si>
    <t>04Q00 S5160</t>
  </si>
  <si>
    <t>01Q00 17150</t>
  </si>
  <si>
    <t>01Q00 17180</t>
  </si>
  <si>
    <t>01Q00 17480</t>
  </si>
  <si>
    <t>03UOJ 17440</t>
  </si>
  <si>
    <t>06U0F 04391</t>
  </si>
  <si>
    <t>06U0F 0439S</t>
  </si>
  <si>
    <t>06U0F 15170</t>
  </si>
  <si>
    <t>06U0F 15171</t>
  </si>
  <si>
    <t>06U0F1517S</t>
  </si>
  <si>
    <t>06U0F S5171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</si>
  <si>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</si>
  <si>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</si>
  <si>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</si>
  <si>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</si>
  <si>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</si>
  <si>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</si>
  <si>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</si>
  <si>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</si>
  <si>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</si>
  <si>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</si>
  <si>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</si>
  <si>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</si>
  <si>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</si>
  <si>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</si>
  <si>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</si>
  <si>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</si>
  <si>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</si>
  <si>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</si>
  <si>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</si>
  <si>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</si>
  <si>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</si>
  <si>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</si>
  <si>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</si>
  <si>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</si>
  <si>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</si>
  <si>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</si>
  <si>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</si>
  <si>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</si>
  <si>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</si>
  <si>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</si>
  <si>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</si>
  <si>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</si>
  <si>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</si>
  <si>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</si>
  <si>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</si>
  <si>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</si>
  <si>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</si>
  <si>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</si>
  <si>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</si>
  <si>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</si>
  <si>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</si>
  <si>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</si>
  <si>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</si>
  <si>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</si>
  <si>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</si>
  <si>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</si>
  <si>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</si>
  <si>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</si>
  <si>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</si>
  <si>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</si>
  <si>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</si>
  <si>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</si>
  <si>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</si>
  <si>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</si>
  <si>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</si>
  <si>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</si>
  <si>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</si>
  <si>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</si>
  <si>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</si>
  <si>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</si>
  <si>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</si>
  <si>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</si>
  <si>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</si>
  <si>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</si>
  <si>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</si>
  <si>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</si>
  <si>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</si>
  <si>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</si>
  <si>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</si>
  <si>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Сумма на 2025 год                 (тыс. руб.)</t>
  </si>
  <si>
    <t>Сумма на 2025 год   (тыс. руб.)</t>
  </si>
  <si>
    <t>Сумма на 2025 год (тыс.рублей)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</si>
  <si>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</si>
  <si>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</si>
  <si>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</si>
  <si>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</si>
  <si>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</si>
  <si>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</si>
  <si>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</si>
  <si>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</si>
  <si>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</si>
  <si>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</si>
  <si>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</si>
  <si>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</si>
  <si>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</si>
  <si>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</si>
  <si>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</si>
  <si>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</si>
  <si>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</si>
  <si>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</si>
  <si>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</si>
  <si>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</si>
  <si>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</si>
  <si>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</si>
  <si>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</si>
  <si>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</si>
  <si>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</si>
  <si>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</si>
  <si>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</si>
  <si>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1517Я</t>
  </si>
  <si>
    <t>06UOF 1517Ю</t>
  </si>
  <si>
    <t>06UOF 15174</t>
  </si>
  <si>
    <t>06UOF 15175</t>
  </si>
  <si>
    <t>06UOF 15176</t>
  </si>
  <si>
    <t>06UOF 15177</t>
  </si>
  <si>
    <t>06UOF 15178</t>
  </si>
  <si>
    <t>06UOF 15179</t>
  </si>
  <si>
    <t>06UOF 1517Ф</t>
  </si>
  <si>
    <t>06UOF S517Я</t>
  </si>
  <si>
    <t>06UOF S517Ю</t>
  </si>
  <si>
    <t>06UOF S5174</t>
  </si>
  <si>
    <t>06UOF S5175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</si>
  <si>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</si>
  <si>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</si>
  <si>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</si>
  <si>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</si>
  <si>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</si>
  <si>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</si>
  <si>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</si>
  <si>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</si>
  <si>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</si>
  <si>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0439Я</t>
  </si>
  <si>
    <t>06UOF 0439Ю</t>
  </si>
  <si>
    <t>06UOF 04394</t>
  </si>
  <si>
    <t>06UOF 04395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</si>
  <si>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</si>
  <si>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</si>
  <si>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</si>
  <si>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</si>
  <si>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</si>
  <si>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</si>
  <si>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</si>
  <si>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</si>
  <si>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</si>
  <si>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</si>
  <si>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06UOF1517М</t>
  </si>
  <si>
    <t>06UOF1517Ц</t>
  </si>
  <si>
    <t>06UOF 0439SМ</t>
  </si>
  <si>
    <t>06UOF 0439Л</t>
  </si>
  <si>
    <t>06UOF 0439Ц</t>
  </si>
  <si>
    <t>06UOFS517М</t>
  </si>
  <si>
    <t>06UOFS517Л</t>
  </si>
  <si>
    <t>06UOFS517Ц</t>
  </si>
  <si>
    <t>06UOF S517Ч</t>
  </si>
  <si>
    <t>06UOF S517Ш</t>
  </si>
  <si>
    <t>06UOF 0439Ч</t>
  </si>
  <si>
    <t>06UOF 0439Ш</t>
  </si>
  <si>
    <t>06U0F 04394</t>
  </si>
  <si>
    <t>06U0F 04395</t>
  </si>
  <si>
    <t>06U0F 04396</t>
  </si>
  <si>
    <t>06U0F 04397</t>
  </si>
  <si>
    <t>06U0F 04398</t>
  </si>
  <si>
    <t>06U0F 04399</t>
  </si>
  <si>
    <t>06U0F 0439Ф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</si>
  <si>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</si>
  <si>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</si>
  <si>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</si>
  <si>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</si>
  <si>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</si>
  <si>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</si>
  <si>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</si>
  <si>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15174</t>
  </si>
  <si>
    <t>06U0F 15175</t>
  </si>
  <si>
    <t>06U0F 15176</t>
  </si>
  <si>
    <t>06U0F 15177</t>
  </si>
  <si>
    <t>06U0F 15178</t>
  </si>
  <si>
    <t>06U0F 15179</t>
  </si>
  <si>
    <t>06U0F 1517Ф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</si>
  <si>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</si>
  <si>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</si>
  <si>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</si>
  <si>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</si>
  <si>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</si>
  <si>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</si>
  <si>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</si>
  <si>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S517Я</t>
  </si>
  <si>
    <t>06U0F S517Ю</t>
  </si>
  <si>
    <t>06U0F S5174</t>
  </si>
  <si>
    <t>06U0F  S5175</t>
  </si>
  <si>
    <t>06U0F S5176</t>
  </si>
  <si>
    <t>06U0F S5177</t>
  </si>
  <si>
    <t>06U0F S5178</t>
  </si>
  <si>
    <t>06U0F S5179</t>
  </si>
  <si>
    <t>06U0F S517Ф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</si>
  <si>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</si>
  <si>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</si>
  <si>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</si>
  <si>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</si>
  <si>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</si>
  <si>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</si>
  <si>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</si>
  <si>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Слободской)</t>
  </si>
  <si>
    <t>Мероприятия за счет добровольных пожертвований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</si>
  <si>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Мероприятия за счет добровольных пожертвований ("Маршрут 12", устройство тротуаров по ул.Корто на участке от д.5 до д.5а, г.Слободской)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</si>
  <si>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</si>
  <si>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Мероприятия за счет добровольных пожертвований ("Преображение Загородной", устройство тротуаров по ул.Загородной от ул.Вятской до ул.Вятский Тракт по чётной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</si>
  <si>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)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</si>
  <si>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</si>
  <si>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</si>
  <si>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</si>
  <si>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</si>
  <si>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</si>
  <si>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</si>
  <si>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</si>
  <si>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</si>
  <si>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</si>
  <si>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</si>
  <si>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</si>
  <si>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</si>
  <si>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</si>
  <si>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("Маршрут 12", устройство тротуаров по ул.Корто на участке от д.5 до д.5а,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</si>
  <si>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</si>
  <si>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("Преображение Загородной", устройство тротуаров по ул.Загородной от ул.Вятской до ул.Вятский Тракт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</si>
  <si>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</si>
  <si>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</si>
  <si>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</si>
  <si>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</si>
  <si>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</si>
  <si>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</si>
  <si>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</si>
  <si>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</si>
  <si>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</si>
  <si>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</si>
  <si>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</si>
  <si>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</si>
  <si>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</si>
  <si>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("Первые шаги", устройство тротуаров с газоном по ул.А.С.Пушкина от ул.Советской до въезда на территорию КОГБУЗ "Слободская ЦРБ им. ак. А.Н. )</t>
  </si>
  <si>
    <t xml:space="preserve"> 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</si>
  <si>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</si>
  <si>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</si>
  <si>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</si>
  <si>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</si>
  <si>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</si>
  <si>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</si>
  <si>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</si>
  <si>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</si>
  <si>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</si>
  <si>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("Преображение Загородной", устройство тротуаров по ул.Загородной от ул.Вятской до ул.Вятский Тракт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</si>
  <si>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</si>
  <si>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</si>
  <si>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</si>
  <si>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</si>
  <si>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 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</si>
  <si>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</si>
  <si>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</si>
  <si>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</si>
  <si>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</si>
  <si>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</si>
  <si>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</si>
  <si>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</si>
  <si>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</si>
  <si>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06Q00 9Д151</t>
  </si>
  <si>
    <t>06Q00 SД151</t>
  </si>
  <si>
    <t>06U0FS517B</t>
  </si>
  <si>
    <t>06Q1417560</t>
  </si>
  <si>
    <t>04U0Y Д0820</t>
  </si>
  <si>
    <t>04U0Y 16090</t>
  </si>
  <si>
    <t>04U0Y 16094</t>
  </si>
  <si>
    <t>04U0Y  L4970</t>
  </si>
  <si>
    <t>01400 04080</t>
  </si>
  <si>
    <t>04U0Y R0820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</si>
  <si>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</si>
  <si>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</si>
  <si>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</si>
  <si>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</si>
  <si>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</si>
  <si>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</si>
  <si>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</si>
  <si>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</si>
  <si>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</si>
  <si>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</si>
  <si>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</si>
  <si>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</si>
  <si>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</si>
  <si>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</si>
  <si>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</si>
  <si>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</si>
  <si>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</si>
  <si>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</si>
  <si>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</si>
  <si>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</si>
  <si>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</si>
  <si>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</si>
  <si>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</si>
  <si>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>доп. поправка</t>
  </si>
  <si>
    <t>110И2 67483</t>
  </si>
  <si>
    <t>110И2 67484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</si>
  <si>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</si>
  <si>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бюджета города</t>
  </si>
  <si>
    <t>110И2 6748S</t>
  </si>
  <si>
    <t>доп. изм</t>
  </si>
  <si>
    <t xml:space="preserve">                                                                                                                  от 19.11.2025  № 69/433</t>
  </si>
  <si>
    <t xml:space="preserve">                                                                                                                                   от 19.11.2025  № 69/433</t>
  </si>
  <si>
    <t xml:space="preserve">                                                                                                                                                         от 19.11.2025  № 69/433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</si>
</sst>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3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43" fontId="34" fillId="0" borderId="0" applyFont="0" applyFill="0" applyBorder="0" applyAlignment="0" applyProtection="0"/>
    <xf numFmtId="0" fontId="1" fillId="0" borderId="0"/>
    <xf numFmtId="0" fontId="46" fillId="0" borderId="0"/>
    <xf numFmtId="43" fontId="3" fillId="0" borderId="0" applyFont="0" applyFill="0" applyBorder="0" applyAlignment="0" applyProtection="0"/>
  </cellStyleXfs>
  <cellXfs count="292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Fill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Fill="1" applyBorder="1" applyAlignment="1">
      <alignment horizontal="center" wrapText="1"/>
    </xf>
    <xf numFmtId="49" fontId="23" fillId="0" borderId="10" xfId="47" applyNumberFormat="1" applyFont="1" applyFill="1" applyBorder="1" applyAlignment="1">
      <alignment horizontal="center"/>
    </xf>
    <xf numFmtId="49" fontId="23" fillId="0" borderId="10" xfId="43" applyNumberFormat="1" applyFont="1" applyFill="1" applyBorder="1" applyAlignment="1">
      <alignment horizontal="center"/>
    </xf>
    <xf numFmtId="0" fontId="20" fillId="0" borderId="10" xfId="47" applyFont="1" applyFill="1" applyBorder="1" applyAlignment="1">
      <alignment horizontal="center" wrapText="1"/>
    </xf>
    <xf numFmtId="49" fontId="20" fillId="0" borderId="10" xfId="47" applyNumberFormat="1" applyFont="1" applyFill="1" applyBorder="1" applyAlignment="1">
      <alignment horizontal="center"/>
    </xf>
    <xf numFmtId="49" fontId="20" fillId="0" borderId="10" xfId="47" applyNumberFormat="1" applyFont="1" applyFill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165" fontId="20" fillId="0" borderId="10" xfId="60" applyNumberFormat="1" applyFont="1" applyFill="1" applyBorder="1"/>
    <xf numFmtId="165" fontId="20" fillId="0" borderId="10" xfId="60" applyNumberFormat="1" applyFont="1" applyFill="1" applyBorder="1" applyAlignment="1">
      <alignment horizontal="right"/>
    </xf>
    <xf numFmtId="165" fontId="20" fillId="0" borderId="10" xfId="60" applyNumberFormat="1" applyFont="1" applyFill="1" applyBorder="1" applyAlignment="1"/>
    <xf numFmtId="49" fontId="20" fillId="0" borderId="10" xfId="0" applyNumberFormat="1" applyFont="1" applyFill="1" applyBorder="1" applyAlignment="1">
      <alignment horizontal="center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5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5" fontId="20" fillId="0" borderId="10" xfId="38" applyNumberFormat="1" applyFont="1" applyBorder="1"/>
    <xf numFmtId="165" fontId="20" fillId="0" borderId="10" xfId="61" applyNumberFormat="1" applyFont="1" applyFill="1" applyBorder="1"/>
    <xf numFmtId="165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31" fillId="0" borderId="0" xfId="61" applyFont="1" applyFill="1" applyBorder="1"/>
    <xf numFmtId="0" fontId="20" fillId="0" borderId="10" xfId="61" applyFont="1" applyFill="1" applyBorder="1" applyAlignment="1"/>
    <xf numFmtId="0" fontId="20" fillId="0" borderId="10" xfId="61" applyFont="1" applyFill="1" applyBorder="1" applyAlignment="1">
      <alignment horizontal="center"/>
    </xf>
    <xf numFmtId="165" fontId="20" fillId="0" borderId="10" xfId="0" applyNumberFormat="1" applyFont="1" applyBorder="1"/>
    <xf numFmtId="0" fontId="20" fillId="0" borderId="12" xfId="61" applyFont="1" applyFill="1" applyBorder="1" applyAlignment="1">
      <alignment horizontal="center" wrapText="1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/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Fill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5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0" fontId="20" fillId="0" borderId="12" xfId="60" applyFont="1" applyFill="1" applyBorder="1" applyAlignment="1">
      <alignment horizontal="center" wrapText="1"/>
    </xf>
    <xf numFmtId="165" fontId="23" fillId="19" borderId="10" xfId="0" applyNumberFormat="1" applyFont="1" applyFill="1" applyBorder="1"/>
    <xf numFmtId="165" fontId="20" fillId="0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0" fillId="0" borderId="11" xfId="61" applyNumberFormat="1" applyFont="1" applyFill="1" applyBorder="1" applyAlignment="1">
      <alignment horizontal="center"/>
    </xf>
    <xf numFmtId="49" fontId="23" fillId="0" borderId="10" xfId="0" applyNumberFormat="1" applyFont="1" applyFill="1" applyBorder="1" applyAlignment="1">
      <alignment horizontal="center"/>
    </xf>
    <xf numFmtId="49" fontId="33" fillId="0" borderId="10" xfId="0" applyNumberFormat="1" applyFont="1" applyBorder="1" applyAlignment="1"/>
    <xf numFmtId="49" fontId="20" fillId="0" borderId="10" xfId="0" applyNumberFormat="1" applyFont="1" applyBorder="1" applyAlignment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5" fontId="20" fillId="0" borderId="0" xfId="0" applyNumberFormat="1" applyFont="1" applyBorder="1"/>
    <xf numFmtId="49" fontId="23" fillId="0" borderId="12" xfId="60" applyNumberFormat="1" applyFont="1" applyFill="1" applyBorder="1" applyAlignment="1">
      <alignment horizontal="center"/>
    </xf>
    <xf numFmtId="0" fontId="23" fillId="0" borderId="12" xfId="60" applyFont="1" applyFill="1" applyBorder="1" applyAlignment="1">
      <alignment horizontal="center" wrapText="1"/>
    </xf>
    <xf numFmtId="49" fontId="20" fillId="0" borderId="12" xfId="60" applyNumberFormat="1" applyFont="1" applyFill="1" applyBorder="1" applyAlignment="1">
      <alignment horizontal="center"/>
    </xf>
    <xf numFmtId="2" fontId="23" fillId="0" borderId="14" xfId="0" applyNumberFormat="1" applyFont="1" applyFill="1" applyBorder="1"/>
    <xf numFmtId="165" fontId="20" fillId="22" borderId="10" xfId="0" applyNumberFormat="1" applyFont="1" applyFill="1" applyBorder="1"/>
    <xf numFmtId="165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49" fontId="20" fillId="0" borderId="10" xfId="61" applyNumberFormat="1" applyFont="1" applyFill="1" applyBorder="1" applyAlignment="1">
      <alignment horizontal="center" wrapText="1"/>
    </xf>
    <xf numFmtId="49" fontId="0" fillId="0" borderId="0" xfId="0" applyNumberFormat="1" applyAlignment="1"/>
    <xf numFmtId="49" fontId="36" fillId="0" borderId="10" xfId="0" applyNumberFormat="1" applyFont="1" applyFill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0" xfId="61" applyNumberFormat="1" applyFont="1" applyFill="1" applyBorder="1" applyAlignment="1">
      <alignment horizontal="center" wrapText="1"/>
    </xf>
    <xf numFmtId="49" fontId="20" fillId="0" borderId="15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7" fontId="37" fillId="0" borderId="0" xfId="0" applyNumberFormat="1" applyFont="1"/>
    <xf numFmtId="166" fontId="35" fillId="0" borderId="0" xfId="0" applyNumberFormat="1" applyFont="1"/>
    <xf numFmtId="0" fontId="23" fillId="0" borderId="12" xfId="61" applyFont="1" applyFill="1" applyBorder="1" applyAlignment="1">
      <alignment horizontal="center" wrapText="1"/>
    </xf>
    <xf numFmtId="165" fontId="20" fillId="0" borderId="10" xfId="0" applyNumberFormat="1" applyFont="1" applyBorder="1" applyAlignment="1"/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49" fontId="20" fillId="0" borderId="10" xfId="61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6" fontId="0" fillId="0" borderId="0" xfId="0" applyNumberFormat="1"/>
    <xf numFmtId="165" fontId="20" fillId="0" borderId="10" xfId="0" applyNumberFormat="1" applyFont="1" applyFill="1" applyBorder="1" applyAlignment="1"/>
    <xf numFmtId="49" fontId="20" fillId="22" borderId="10" xfId="60" applyNumberFormat="1" applyFont="1" applyFill="1" applyBorder="1" applyAlignment="1">
      <alignment horizontal="center"/>
    </xf>
    <xf numFmtId="49" fontId="20" fillId="0" borderId="10" xfId="61" applyNumberFormat="1" applyFont="1" applyFill="1" applyBorder="1" applyAlignment="1">
      <alignment horizontal="center" wrapText="1"/>
    </xf>
    <xf numFmtId="49" fontId="36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5" fontId="23" fillId="23" borderId="0" xfId="0" applyNumberFormat="1" applyFont="1" applyFill="1" applyBorder="1"/>
    <xf numFmtId="165" fontId="23" fillId="24" borderId="0" xfId="0" applyNumberFormat="1" applyFont="1" applyFill="1" applyBorder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 applyAlignment="1"/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5" fontId="23" fillId="23" borderId="15" xfId="60" applyNumberFormat="1" applyFont="1" applyFill="1" applyBorder="1" applyAlignment="1">
      <alignment horizontal="center" wrapText="1"/>
    </xf>
    <xf numFmtId="165" fontId="23" fillId="24" borderId="15" xfId="60" applyNumberFormat="1" applyFont="1" applyFill="1" applyBorder="1" applyAlignment="1">
      <alignment horizontal="center" wrapText="1"/>
    </xf>
    <xf numFmtId="0" fontId="37" fillId="23" borderId="0" xfId="0" applyFont="1" applyFill="1" applyBorder="1"/>
    <xf numFmtId="0" fontId="37" fillId="24" borderId="0" xfId="0" applyFont="1" applyFill="1" applyBorder="1"/>
    <xf numFmtId="165" fontId="37" fillId="23" borderId="0" xfId="0" applyNumberFormat="1" applyFont="1" applyFill="1" applyBorder="1"/>
    <xf numFmtId="165" fontId="37" fillId="24" borderId="0" xfId="0" applyNumberFormat="1" applyFont="1" applyFill="1" applyBorder="1"/>
    <xf numFmtId="165" fontId="23" fillId="23" borderId="0" xfId="60" applyNumberFormat="1" applyFont="1" applyFill="1" applyBorder="1" applyAlignment="1">
      <alignment horizontal="right"/>
    </xf>
    <xf numFmtId="165" fontId="23" fillId="24" borderId="0" xfId="60" applyNumberFormat="1" applyFont="1" applyFill="1" applyBorder="1" applyAlignment="1">
      <alignment horizontal="right"/>
    </xf>
    <xf numFmtId="165" fontId="23" fillId="23" borderId="0" xfId="60" applyNumberFormat="1" applyFont="1" applyFill="1" applyBorder="1" applyAlignment="1"/>
    <xf numFmtId="165" fontId="23" fillId="24" borderId="0" xfId="60" applyNumberFormat="1" applyFont="1" applyFill="1" applyBorder="1" applyAlignment="1"/>
    <xf numFmtId="165" fontId="23" fillId="23" borderId="0" xfId="60" applyNumberFormat="1" applyFont="1" applyFill="1" applyBorder="1"/>
    <xf numFmtId="165" fontId="23" fillId="24" borderId="0" xfId="60" applyNumberFormat="1" applyFont="1" applyFill="1" applyBorder="1"/>
    <xf numFmtId="2" fontId="23" fillId="23" borderId="0" xfId="0" applyNumberFormat="1" applyFont="1" applyFill="1" applyBorder="1"/>
    <xf numFmtId="2" fontId="23" fillId="24" borderId="0" xfId="0" applyNumberFormat="1" applyFont="1" applyFill="1" applyBorder="1"/>
    <xf numFmtId="165" fontId="23" fillId="23" borderId="0" xfId="0" applyNumberFormat="1" applyFont="1" applyFill="1" applyBorder="1" applyAlignment="1"/>
    <xf numFmtId="165" fontId="23" fillId="24" borderId="0" xfId="0" applyNumberFormat="1" applyFont="1" applyFill="1" applyBorder="1" applyAlignment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2" fontId="23" fillId="23" borderId="0" xfId="0" applyNumberFormat="1" applyFont="1" applyFill="1"/>
    <xf numFmtId="165" fontId="45" fillId="0" borderId="0" xfId="0" applyNumberFormat="1" applyFont="1"/>
    <xf numFmtId="165" fontId="20" fillId="0" borderId="0" xfId="0" applyNumberFormat="1" applyFont="1"/>
    <xf numFmtId="165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6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20" fillId="22" borderId="12" xfId="39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20" fillId="22" borderId="12" xfId="68" applyNumberFormat="1" applyFont="1" applyFill="1" applyBorder="1" applyAlignment="1">
      <alignment wrapText="1"/>
    </xf>
    <xf numFmtId="0" fontId="40" fillId="22" borderId="0" xfId="0" applyFont="1" applyFill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0" fontId="20" fillId="22" borderId="10" xfId="0" applyFont="1" applyFill="1" applyBorder="1"/>
    <xf numFmtId="0" fontId="21" fillId="22" borderId="0" xfId="0" applyFont="1" applyFill="1" applyBorder="1"/>
    <xf numFmtId="0" fontId="0" fillId="22" borderId="0" xfId="0" applyFill="1" applyBorder="1"/>
    <xf numFmtId="0" fontId="0" fillId="22" borderId="0" xfId="0" applyFill="1"/>
    <xf numFmtId="166" fontId="37" fillId="0" borderId="0" xfId="0" applyNumberFormat="1" applyFont="1"/>
    <xf numFmtId="165" fontId="20" fillId="0" borderId="10" xfId="0" applyNumberFormat="1" applyFont="1" applyFill="1" applyBorder="1" applyAlignment="1">
      <alignment wrapText="1"/>
    </xf>
    <xf numFmtId="165" fontId="23" fillId="0" borderId="10" xfId="0" applyNumberFormat="1" applyFont="1" applyFill="1" applyBorder="1"/>
    <xf numFmtId="165" fontId="33" fillId="0" borderId="10" xfId="0" applyNumberFormat="1" applyFont="1" applyFill="1" applyBorder="1"/>
    <xf numFmtId="165" fontId="20" fillId="0" borderId="10" xfId="0" applyNumberFormat="1" applyFont="1" applyFill="1" applyBorder="1" applyAlignment="1">
      <alignment horizontal="right"/>
    </xf>
    <xf numFmtId="165" fontId="21" fillId="0" borderId="0" xfId="0" applyNumberFormat="1" applyFont="1" applyFill="1" applyBorder="1"/>
    <xf numFmtId="165" fontId="0" fillId="0" borderId="0" xfId="0" applyNumberFormat="1" applyFill="1" applyBorder="1"/>
    <xf numFmtId="165" fontId="0" fillId="0" borderId="0" xfId="0" applyNumberFormat="1" applyFill="1"/>
    <xf numFmtId="49" fontId="37" fillId="0" borderId="0" xfId="0" applyNumberFormat="1" applyFont="1"/>
    <xf numFmtId="0" fontId="3" fillId="22" borderId="0" xfId="0" applyFont="1" applyFill="1"/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 applyAlignment="1"/>
    <xf numFmtId="11" fontId="23" fillId="22" borderId="11" xfId="61" applyNumberFormat="1" applyFont="1" applyFill="1" applyBorder="1" applyAlignment="1">
      <alignment wrapText="1"/>
    </xf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0" fillId="22" borderId="11" xfId="60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6" fontId="23" fillId="0" borderId="0" xfId="0" applyNumberFormat="1" applyFont="1"/>
    <xf numFmtId="166" fontId="23" fillId="0" borderId="0" xfId="0" applyNumberFormat="1" applyFont="1" applyAlignment="1">
      <alignment horizontal="center"/>
    </xf>
    <xf numFmtId="165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6" fontId="37" fillId="0" borderId="0" xfId="0" applyNumberFormat="1" applyFont="1" applyAlignment="1">
      <alignment wrapText="1"/>
    </xf>
    <xf numFmtId="166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6" fontId="39" fillId="0" borderId="0" xfId="0" applyNumberFormat="1" applyFont="1"/>
    <xf numFmtId="166" fontId="22" fillId="0" borderId="0" xfId="0" applyNumberFormat="1" applyFont="1" applyAlignment="1">
      <alignment horizontal="center"/>
    </xf>
    <xf numFmtId="11" fontId="20" fillId="0" borderId="12" xfId="68" applyNumberFormat="1" applyFont="1" applyFill="1" applyBorder="1" applyAlignment="1">
      <alignment vertical="top" wrapText="1"/>
    </xf>
    <xf numFmtId="49" fontId="37" fillId="0" borderId="0" xfId="0" applyNumberFormat="1" applyFont="1" applyAlignment="1">
      <alignment horizontal="center"/>
    </xf>
    <xf numFmtId="167" fontId="37" fillId="27" borderId="0" xfId="0" applyNumberFormat="1" applyFont="1" applyFill="1"/>
    <xf numFmtId="167" fontId="37" fillId="28" borderId="0" xfId="0" applyNumberFormat="1" applyFont="1" applyFill="1"/>
    <xf numFmtId="167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7" fontId="37" fillId="27" borderId="0" xfId="0" applyNumberFormat="1" applyFont="1" applyFill="1" applyAlignment="1">
      <alignment wrapText="1"/>
    </xf>
    <xf numFmtId="167" fontId="37" fillId="22" borderId="0" xfId="0" applyNumberFormat="1" applyFont="1" applyFill="1"/>
    <xf numFmtId="167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5" fontId="23" fillId="22" borderId="0" xfId="0" applyNumberFormat="1" applyFont="1" applyFill="1" applyBorder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6" fontId="37" fillId="22" borderId="0" xfId="0" applyNumberFormat="1" applyFont="1" applyFill="1" applyAlignment="1">
      <alignment horizontal="center"/>
    </xf>
    <xf numFmtId="166" fontId="37" fillId="22" borderId="0" xfId="0" applyNumberFormat="1" applyFont="1" applyFill="1"/>
    <xf numFmtId="166" fontId="35" fillId="22" borderId="0" xfId="0" applyNumberFormat="1" applyFont="1" applyFill="1"/>
    <xf numFmtId="166" fontId="23" fillId="22" borderId="0" xfId="0" applyNumberFormat="1" applyFont="1" applyFill="1"/>
    <xf numFmtId="166" fontId="39" fillId="22" borderId="0" xfId="0" applyNumberFormat="1" applyFont="1" applyFill="1"/>
    <xf numFmtId="0" fontId="23" fillId="22" borderId="0" xfId="0" applyFont="1" applyFill="1"/>
    <xf numFmtId="49" fontId="20" fillId="0" borderId="10" xfId="61" applyNumberFormat="1" applyFont="1" applyFill="1" applyBorder="1" applyAlignment="1">
      <alignment horizontal="center" wrapText="1"/>
    </xf>
    <xf numFmtId="49" fontId="20" fillId="0" borderId="10" xfId="61" applyNumberFormat="1" applyFont="1" applyFill="1" applyBorder="1" applyAlignment="1">
      <alignment horizontal="center" wrapText="1"/>
    </xf>
    <xf numFmtId="166" fontId="47" fillId="0" borderId="0" xfId="0" applyNumberFormat="1" applyFont="1"/>
    <xf numFmtId="166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6" fontId="47" fillId="0" borderId="0" xfId="0" applyNumberFormat="1" applyFont="1" applyAlignment="1">
      <alignment horizontal="center"/>
    </xf>
    <xf numFmtId="2" fontId="47" fillId="0" borderId="0" xfId="0" applyNumberFormat="1" applyFont="1"/>
    <xf numFmtId="166" fontId="48" fillId="0" borderId="0" xfId="0" applyNumberFormat="1" applyFont="1"/>
    <xf numFmtId="0" fontId="20" fillId="0" borderId="10" xfId="0" applyFont="1" applyFill="1" applyBorder="1" applyAlignment="1">
      <alignment vertical="top" wrapText="1"/>
    </xf>
    <xf numFmtId="166" fontId="37" fillId="21" borderId="0" xfId="0" applyNumberFormat="1" applyFont="1" applyFill="1"/>
    <xf numFmtId="166" fontId="37" fillId="0" borderId="0" xfId="0" applyNumberFormat="1" applyFont="1" applyAlignment="1">
      <alignment horizontal="right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165" fontId="23" fillId="0" borderId="10" xfId="0" applyNumberFormat="1" applyFont="1" applyFill="1" applyBorder="1" applyAlignment="1">
      <alignment wrapText="1"/>
    </xf>
    <xf numFmtId="165" fontId="23" fillId="0" borderId="10" xfId="61" applyNumberFormat="1" applyFont="1" applyFill="1" applyBorder="1"/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 applyAlignment="1"/>
    <xf numFmtId="0" fontId="20" fillId="0" borderId="0" xfId="60" applyFont="1" applyFill="1" applyBorder="1" applyAlignment="1"/>
    <xf numFmtId="165" fontId="20" fillId="0" borderId="10" xfId="61" applyNumberFormat="1" applyFont="1" applyFill="1" applyBorder="1" applyAlignment="1">
      <alignment horizontal="center" wrapText="1"/>
    </xf>
    <xf numFmtId="11" fontId="20" fillId="22" borderId="10" xfId="39" applyNumberFormat="1" applyFont="1" applyFill="1" applyBorder="1" applyAlignment="1">
      <alignment wrapText="1"/>
    </xf>
    <xf numFmtId="11" fontId="20" fillId="0" borderId="10" xfId="68" applyNumberFormat="1" applyFont="1" applyFill="1" applyBorder="1" applyAlignment="1">
      <alignment vertical="top" wrapText="1"/>
    </xf>
    <xf numFmtId="11" fontId="20" fillId="22" borderId="10" xfId="68" applyNumberFormat="1" applyFont="1" applyFill="1" applyBorder="1" applyAlignment="1">
      <alignment wrapText="1"/>
    </xf>
    <xf numFmtId="11" fontId="20" fillId="22" borderId="10" xfId="39" applyNumberFormat="1" applyFont="1" applyFill="1" applyBorder="1" applyAlignment="1">
      <alignment horizontal="left" wrapText="1"/>
    </xf>
    <xf numFmtId="0" fontId="33" fillId="0" borderId="10" xfId="0" applyFont="1" applyBorder="1" applyAlignment="1">
      <alignment wrapText="1"/>
    </xf>
    <xf numFmtId="0" fontId="20" fillId="22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11" fontId="20" fillId="22" borderId="10" xfId="60" applyNumberFormat="1" applyFont="1" applyFill="1" applyBorder="1" applyAlignment="1">
      <alignment horizontal="center" vertical="center" wrapText="1"/>
    </xf>
    <xf numFmtId="11" fontId="20" fillId="0" borderId="10" xfId="60" applyNumberFormat="1" applyFont="1" applyFill="1" applyBorder="1" applyAlignment="1">
      <alignment horizontal="center" vertical="center" wrapText="1"/>
    </xf>
    <xf numFmtId="49" fontId="20" fillId="0" borderId="10" xfId="60" applyNumberFormat="1" applyFont="1" applyFill="1" applyBorder="1" applyAlignment="1">
      <alignment horizontal="center" vertical="center" wrapText="1"/>
    </xf>
    <xf numFmtId="165" fontId="20" fillId="0" borderId="10" xfId="60" applyNumberFormat="1" applyFont="1" applyFill="1" applyBorder="1" applyAlignment="1">
      <alignment horizontal="center" vertical="center" wrapText="1"/>
    </xf>
  </cellXfs>
  <cellStyles count="8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2" xfId="39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26" xfId="83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zoomScaleNormal="100" workbookViewId="0">
      <selection activeCell="A8" sqref="A8:F63"/>
    </sheetView>
  </sheetViews>
  <sheetFormatPr defaultColWidth="7.140625" defaultRowHeight="15" outlineLevelRow="1" x14ac:dyDescent="0.25"/>
  <cols>
    <col min="1" max="1" width="55.5703125" style="36" customWidth="1"/>
    <col min="2" max="2" width="7.140625" style="36" customWidth="1"/>
    <col min="3" max="3" width="8.42578125" style="36" customWidth="1"/>
    <col min="4" max="4" width="15.85546875" style="36" customWidth="1"/>
    <col min="5" max="5" width="10.42578125" style="36" customWidth="1"/>
    <col min="6" max="6" width="20.42578125" style="144" customWidth="1"/>
    <col min="7" max="10" width="0" style="36" hidden="1" customWidth="1"/>
    <col min="11" max="11" width="15.5703125" style="36" customWidth="1"/>
    <col min="12" max="254" width="9.140625" style="36" customWidth="1"/>
    <col min="255" max="255" width="55.5703125" style="36" customWidth="1"/>
    <col min="256" max="16384" width="7.140625" style="36"/>
  </cols>
  <sheetData>
    <row r="1" spans="1:254" ht="18.75" x14ac:dyDescent="0.3">
      <c r="A1" s="268" t="s">
        <v>677</v>
      </c>
      <c r="B1" s="268"/>
      <c r="C1" s="268"/>
      <c r="D1" s="268"/>
      <c r="E1" s="268"/>
      <c r="F1" s="268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.75" x14ac:dyDescent="0.3">
      <c r="A2" s="269" t="s">
        <v>335</v>
      </c>
      <c r="B2" s="269"/>
      <c r="C2" s="269"/>
      <c r="D2" s="269"/>
      <c r="E2" s="269"/>
      <c r="F2" s="269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</row>
    <row r="3" spans="1:254" ht="18.75" x14ac:dyDescent="0.3">
      <c r="A3" s="269" t="s">
        <v>336</v>
      </c>
      <c r="B3" s="269"/>
      <c r="C3" s="269"/>
      <c r="D3" s="269"/>
      <c r="E3" s="269"/>
      <c r="F3" s="269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  <c r="HV3" s="35"/>
      <c r="HW3" s="35"/>
      <c r="HX3" s="35"/>
      <c r="HY3" s="35"/>
      <c r="HZ3" s="35"/>
      <c r="IA3" s="35"/>
      <c r="IB3" s="35"/>
      <c r="IC3" s="35"/>
      <c r="ID3" s="35"/>
      <c r="IE3" s="35"/>
      <c r="IF3" s="35"/>
      <c r="IG3" s="35"/>
      <c r="IH3" s="35"/>
      <c r="II3" s="35"/>
      <c r="IJ3" s="35"/>
      <c r="IK3" s="35"/>
      <c r="IL3" s="35"/>
      <c r="IM3" s="35"/>
      <c r="IN3" s="35"/>
      <c r="IO3" s="35"/>
      <c r="IP3" s="35"/>
      <c r="IQ3" s="35"/>
      <c r="IR3" s="35"/>
      <c r="IS3" s="35"/>
      <c r="IT3" s="35"/>
    </row>
    <row r="4" spans="1:254" ht="18.75" x14ac:dyDescent="0.3">
      <c r="A4" s="269" t="s">
        <v>1176</v>
      </c>
      <c r="B4" s="269"/>
      <c r="C4" s="269"/>
      <c r="D4" s="269"/>
      <c r="E4" s="269"/>
      <c r="F4" s="269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</row>
    <row r="5" spans="1:254" ht="18.75" x14ac:dyDescent="0.3">
      <c r="A5" s="270"/>
      <c r="B5" s="270"/>
      <c r="C5" s="270"/>
      <c r="D5" s="270"/>
      <c r="E5" s="270"/>
      <c r="F5" s="4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</row>
    <row r="6" spans="1:254" ht="37.5" customHeight="1" x14ac:dyDescent="0.3">
      <c r="A6" s="271" t="s">
        <v>337</v>
      </c>
      <c r="B6" s="271"/>
      <c r="C6" s="271"/>
      <c r="D6" s="271"/>
      <c r="E6" s="271"/>
      <c r="F6" s="4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</row>
    <row r="7" spans="1:254" x14ac:dyDescent="0.25">
      <c r="A7" s="35"/>
      <c r="B7" s="35"/>
      <c r="C7" s="35"/>
      <c r="D7" s="35"/>
      <c r="E7" s="35"/>
      <c r="F7" s="4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</row>
    <row r="8" spans="1:254" ht="12.75" customHeight="1" x14ac:dyDescent="0.25">
      <c r="A8" s="272" t="s">
        <v>46</v>
      </c>
      <c r="B8" s="273" t="s">
        <v>109</v>
      </c>
      <c r="C8" s="273" t="s">
        <v>110</v>
      </c>
      <c r="D8" s="273" t="s">
        <v>47</v>
      </c>
      <c r="E8" s="273" t="s">
        <v>338</v>
      </c>
      <c r="F8" s="279" t="s">
        <v>955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  <c r="IS8" s="35"/>
      <c r="IT8" s="35"/>
    </row>
    <row r="9" spans="1:254" ht="43.5" customHeight="1" x14ac:dyDescent="0.25">
      <c r="A9" s="272"/>
      <c r="B9" s="273"/>
      <c r="C9" s="273"/>
      <c r="D9" s="273"/>
      <c r="E9" s="273"/>
      <c r="F9" s="279"/>
      <c r="G9" s="35"/>
      <c r="H9" s="37"/>
      <c r="I9" s="37" t="s">
        <v>339</v>
      </c>
      <c r="J9" s="37" t="s">
        <v>340</v>
      </c>
      <c r="K9" s="35"/>
      <c r="L9" s="37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</row>
    <row r="10" spans="1:254" s="40" customFormat="1" ht="27" customHeight="1" x14ac:dyDescent="0.3">
      <c r="A10" s="38" t="s">
        <v>48</v>
      </c>
      <c r="B10" s="39" t="s">
        <v>112</v>
      </c>
      <c r="C10" s="39" t="s">
        <v>112</v>
      </c>
      <c r="D10" s="39" t="s">
        <v>49</v>
      </c>
      <c r="E10" s="39" t="s">
        <v>50</v>
      </c>
      <c r="F10" s="267">
        <f>F11+F22+F25+F30+F35+F38+F46+F54+F59+F62+F51+F49-0.011</f>
        <v>1891985.973</v>
      </c>
      <c r="H10" s="41"/>
      <c r="I10" s="41">
        <f>F12+F13+F14+F17-'[1]В-18'!G343</f>
        <v>62942.916999999987</v>
      </c>
      <c r="J10" s="40">
        <v>31556</v>
      </c>
      <c r="K10" s="37"/>
      <c r="L10" s="37"/>
    </row>
    <row r="11" spans="1:254" ht="19.5" customHeight="1" x14ac:dyDescent="0.3">
      <c r="A11" s="264" t="s">
        <v>114</v>
      </c>
      <c r="B11" s="42" t="s">
        <v>115</v>
      </c>
      <c r="C11" s="42" t="s">
        <v>112</v>
      </c>
      <c r="D11" s="42" t="s">
        <v>49</v>
      </c>
      <c r="E11" s="42" t="s">
        <v>50</v>
      </c>
      <c r="F11" s="43">
        <f>SUM(F12:F21)</f>
        <v>107796.91735999999</v>
      </c>
      <c r="H11" s="35"/>
      <c r="I11" s="35"/>
      <c r="J11" s="35"/>
      <c r="K11" s="41"/>
      <c r="L11" s="40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5"/>
      <c r="FV11" s="35"/>
      <c r="FW11" s="35"/>
      <c r="FX11" s="35"/>
      <c r="FY11" s="35"/>
      <c r="FZ11" s="35"/>
      <c r="GA11" s="35"/>
      <c r="GB11" s="35"/>
      <c r="GC11" s="35"/>
      <c r="GD11" s="35"/>
      <c r="GE11" s="35"/>
      <c r="GF11" s="35"/>
      <c r="GG11" s="35"/>
      <c r="GH11" s="35"/>
      <c r="GI11" s="35"/>
      <c r="GJ11" s="35"/>
      <c r="GK11" s="35"/>
      <c r="GL11" s="35"/>
      <c r="GM11" s="35"/>
      <c r="GN11" s="35"/>
      <c r="GO11" s="35"/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5"/>
      <c r="HM11" s="35"/>
      <c r="HN11" s="35"/>
      <c r="HO11" s="35"/>
      <c r="HP11" s="35"/>
      <c r="HQ11" s="35"/>
      <c r="HR11" s="35"/>
      <c r="HS11" s="35"/>
      <c r="HT11" s="35"/>
      <c r="HU11" s="35"/>
      <c r="HV11" s="35"/>
      <c r="HW11" s="35"/>
      <c r="HX11" s="35"/>
      <c r="HY11" s="35"/>
      <c r="HZ11" s="35"/>
      <c r="IA11" s="35"/>
      <c r="IB11" s="35"/>
      <c r="IC11" s="35"/>
      <c r="ID11" s="35"/>
      <c r="IE11" s="35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5"/>
      <c r="IR11" s="35"/>
      <c r="IS11" s="35"/>
      <c r="IT11" s="35"/>
    </row>
    <row r="12" spans="1:254" ht="59.25" customHeight="1" x14ac:dyDescent="0.3">
      <c r="A12" s="264" t="s">
        <v>201</v>
      </c>
      <c r="B12" s="42" t="s">
        <v>115</v>
      </c>
      <c r="C12" s="42" t="s">
        <v>116</v>
      </c>
      <c r="D12" s="42" t="s">
        <v>49</v>
      </c>
      <c r="E12" s="42" t="s">
        <v>50</v>
      </c>
      <c r="F12" s="44">
        <f>'В-25'!G494</f>
        <v>2817.7</v>
      </c>
      <c r="G12" s="35"/>
      <c r="H12" s="35"/>
      <c r="I12" s="35"/>
      <c r="J12" s="35"/>
      <c r="K12" s="4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5"/>
      <c r="FV12" s="35"/>
      <c r="FW12" s="35"/>
      <c r="FX12" s="35"/>
      <c r="FY12" s="35"/>
      <c r="FZ12" s="35"/>
      <c r="GA12" s="35"/>
      <c r="GB12" s="35"/>
      <c r="GC12" s="35"/>
      <c r="GD12" s="35"/>
      <c r="GE12" s="35"/>
      <c r="GF12" s="35"/>
      <c r="GG12" s="35"/>
      <c r="GH12" s="35"/>
      <c r="GI12" s="35"/>
      <c r="GJ12" s="35"/>
      <c r="GK12" s="35"/>
      <c r="GL12" s="35"/>
      <c r="GM12" s="35"/>
      <c r="GN12" s="35"/>
      <c r="GO12" s="35"/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5"/>
      <c r="HM12" s="35"/>
      <c r="HN12" s="35"/>
      <c r="HO12" s="35"/>
      <c r="HP12" s="35"/>
      <c r="HQ12" s="35"/>
      <c r="HR12" s="35"/>
      <c r="HS12" s="35"/>
      <c r="HT12" s="35"/>
      <c r="HU12" s="35"/>
      <c r="HV12" s="35"/>
      <c r="HW12" s="35"/>
      <c r="HX12" s="35"/>
      <c r="HY12" s="35"/>
      <c r="HZ12" s="35"/>
      <c r="IA12" s="35"/>
      <c r="IB12" s="35"/>
      <c r="IC12" s="35"/>
      <c r="ID12" s="35"/>
      <c r="IE12" s="35"/>
      <c r="IF12" s="35"/>
      <c r="IG12" s="35"/>
      <c r="IH12" s="35"/>
      <c r="II12" s="35"/>
      <c r="IJ12" s="35"/>
      <c r="IK12" s="35"/>
      <c r="IL12" s="35"/>
      <c r="IM12" s="35"/>
      <c r="IN12" s="35"/>
      <c r="IO12" s="35"/>
      <c r="IP12" s="35"/>
      <c r="IQ12" s="35"/>
      <c r="IR12" s="35"/>
      <c r="IS12" s="35"/>
      <c r="IT12" s="35"/>
    </row>
    <row r="13" spans="1:254" ht="73.5" hidden="1" customHeight="1" outlineLevel="1" x14ac:dyDescent="0.3">
      <c r="A13" s="264" t="s">
        <v>341</v>
      </c>
      <c r="B13" s="42" t="s">
        <v>115</v>
      </c>
      <c r="C13" s="42" t="s">
        <v>117</v>
      </c>
      <c r="D13" s="42" t="s">
        <v>49</v>
      </c>
      <c r="E13" s="42" t="s">
        <v>50</v>
      </c>
      <c r="F13" s="43">
        <v>0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5"/>
      <c r="IR13" s="35"/>
      <c r="IS13" s="35"/>
      <c r="IT13" s="35"/>
    </row>
    <row r="14" spans="1:254" ht="82.5" customHeight="1" collapsed="1" x14ac:dyDescent="0.3">
      <c r="A14" s="264" t="s">
        <v>120</v>
      </c>
      <c r="B14" s="42" t="s">
        <v>115</v>
      </c>
      <c r="C14" s="42" t="s">
        <v>121</v>
      </c>
      <c r="D14" s="42" t="s">
        <v>49</v>
      </c>
      <c r="E14" s="42" t="s">
        <v>50</v>
      </c>
      <c r="F14" s="43">
        <f>'В-25'!G21+'В-25'!G385+'В-25'!G504</f>
        <v>61373.21699999999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5"/>
      <c r="HS14" s="35"/>
      <c r="HT14" s="35"/>
      <c r="HU14" s="35"/>
      <c r="HV14" s="35"/>
      <c r="HW14" s="35"/>
      <c r="HX14" s="35"/>
      <c r="HY14" s="35"/>
      <c r="HZ14" s="35"/>
      <c r="IA14" s="35"/>
      <c r="IB14" s="35"/>
      <c r="IC14" s="35"/>
      <c r="ID14" s="35"/>
      <c r="IE14" s="35"/>
      <c r="IF14" s="35"/>
      <c r="IG14" s="35"/>
      <c r="IH14" s="35"/>
      <c r="II14" s="35"/>
      <c r="IJ14" s="35"/>
      <c r="IK14" s="35"/>
      <c r="IL14" s="35"/>
      <c r="IM14" s="35"/>
      <c r="IN14" s="35"/>
      <c r="IO14" s="35"/>
      <c r="IP14" s="35"/>
      <c r="IQ14" s="35"/>
      <c r="IR14" s="35"/>
      <c r="IS14" s="35"/>
      <c r="IT14" s="35"/>
    </row>
    <row r="15" spans="1:254" ht="18.75" hidden="1" customHeight="1" x14ac:dyDescent="0.3">
      <c r="A15" s="264" t="s">
        <v>208</v>
      </c>
      <c r="B15" s="42" t="s">
        <v>115</v>
      </c>
      <c r="C15" s="42" t="s">
        <v>209</v>
      </c>
      <c r="D15" s="42" t="s">
        <v>49</v>
      </c>
      <c r="E15" s="42" t="s">
        <v>50</v>
      </c>
      <c r="F15" s="43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5"/>
      <c r="HS15" s="35"/>
      <c r="HT15" s="35"/>
      <c r="HU15" s="35"/>
      <c r="HV15" s="35"/>
      <c r="HW15" s="35"/>
      <c r="HX15" s="35"/>
      <c r="HY15" s="35"/>
      <c r="HZ15" s="35"/>
      <c r="IA15" s="35"/>
      <c r="IB15" s="35"/>
      <c r="IC15" s="35"/>
      <c r="ID15" s="35"/>
      <c r="IE15" s="35"/>
      <c r="IF15" s="35"/>
      <c r="IG15" s="35"/>
      <c r="IH15" s="35"/>
      <c r="II15" s="35"/>
      <c r="IJ15" s="35"/>
      <c r="IK15" s="35"/>
      <c r="IL15" s="35"/>
      <c r="IM15" s="35"/>
      <c r="IN15" s="35"/>
      <c r="IO15" s="35"/>
      <c r="IP15" s="35"/>
      <c r="IQ15" s="35"/>
      <c r="IR15" s="35"/>
      <c r="IS15" s="35"/>
      <c r="IT15" s="35"/>
    </row>
    <row r="16" spans="1:254" ht="21.75" customHeight="1" x14ac:dyDescent="0.3">
      <c r="A16" s="264" t="s">
        <v>208</v>
      </c>
      <c r="B16" s="42" t="s">
        <v>115</v>
      </c>
      <c r="C16" s="42" t="s">
        <v>209</v>
      </c>
      <c r="D16" s="42" t="s">
        <v>49</v>
      </c>
      <c r="E16" s="42" t="s">
        <v>50</v>
      </c>
      <c r="F16" s="43">
        <f>'В-25'!G535</f>
        <v>7.35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5"/>
      <c r="HS16" s="35"/>
      <c r="HT16" s="35"/>
      <c r="HU16" s="35"/>
      <c r="HV16" s="35"/>
      <c r="HW16" s="35"/>
      <c r="HX16" s="35"/>
      <c r="HY16" s="35"/>
      <c r="HZ16" s="35"/>
      <c r="IA16" s="35"/>
      <c r="IB16" s="35"/>
      <c r="IC16" s="35"/>
      <c r="ID16" s="35"/>
      <c r="IE16" s="35"/>
      <c r="IF16" s="35"/>
      <c r="IG16" s="35"/>
      <c r="IH16" s="35"/>
      <c r="II16" s="35"/>
      <c r="IJ16" s="35"/>
      <c r="IK16" s="35"/>
      <c r="IL16" s="35"/>
      <c r="IM16" s="35"/>
      <c r="IN16" s="35"/>
      <c r="IO16" s="35"/>
      <c r="IP16" s="35"/>
      <c r="IQ16" s="35"/>
      <c r="IR16" s="35"/>
      <c r="IS16" s="35"/>
      <c r="IT16" s="35"/>
    </row>
    <row r="17" spans="1:254" ht="82.5" customHeight="1" x14ac:dyDescent="0.3">
      <c r="A17" s="46" t="s">
        <v>118</v>
      </c>
      <c r="B17" s="42" t="s">
        <v>115</v>
      </c>
      <c r="C17" s="42" t="s">
        <v>119</v>
      </c>
      <c r="D17" s="42" t="s">
        <v>49</v>
      </c>
      <c r="E17" s="265" t="s">
        <v>50</v>
      </c>
      <c r="F17" s="43">
        <f>'В-25'!G1561</f>
        <v>1100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  <c r="IF17" s="35"/>
      <c r="IG17" s="35"/>
      <c r="IH17" s="35"/>
      <c r="II17" s="35"/>
      <c r="IJ17" s="35"/>
      <c r="IK17" s="35"/>
      <c r="IL17" s="35"/>
      <c r="IM17" s="35"/>
      <c r="IN17" s="35"/>
      <c r="IO17" s="35"/>
      <c r="IP17" s="35"/>
      <c r="IQ17" s="35"/>
      <c r="IR17" s="35"/>
      <c r="IS17" s="35"/>
      <c r="IT17" s="35"/>
    </row>
    <row r="18" spans="1:254" ht="36.75" hidden="1" customHeight="1" x14ac:dyDescent="0.3">
      <c r="A18" s="46" t="s">
        <v>342</v>
      </c>
      <c r="B18" s="42" t="s">
        <v>115</v>
      </c>
      <c r="C18" s="42" t="s">
        <v>123</v>
      </c>
      <c r="D18" s="42" t="s">
        <v>49</v>
      </c>
      <c r="E18" s="265" t="s">
        <v>50</v>
      </c>
      <c r="F18" s="43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  <c r="IS18" s="35"/>
      <c r="IT18" s="35"/>
    </row>
    <row r="19" spans="1:254" ht="42" hidden="1" customHeight="1" x14ac:dyDescent="0.3">
      <c r="A19" s="46" t="s">
        <v>342</v>
      </c>
      <c r="B19" s="42" t="s">
        <v>115</v>
      </c>
      <c r="C19" s="42" t="s">
        <v>123</v>
      </c>
      <c r="D19" s="42" t="s">
        <v>49</v>
      </c>
      <c r="E19" s="265" t="s">
        <v>50</v>
      </c>
      <c r="F19" s="43">
        <f>'В-25'!G540</f>
        <v>0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5"/>
      <c r="HM19" s="35"/>
      <c r="HN19" s="35"/>
      <c r="HO19" s="35"/>
      <c r="HP19" s="35"/>
      <c r="HQ19" s="35"/>
      <c r="HR19" s="35"/>
      <c r="HS19" s="35"/>
      <c r="HT19" s="35"/>
      <c r="HU19" s="35"/>
      <c r="HV19" s="35"/>
      <c r="HW19" s="35"/>
      <c r="HX19" s="35"/>
      <c r="HY19" s="35"/>
      <c r="HZ19" s="35"/>
      <c r="IA19" s="35"/>
      <c r="IB19" s="35"/>
      <c r="IC19" s="35"/>
      <c r="ID19" s="35"/>
      <c r="IE19" s="35"/>
      <c r="IF19" s="35"/>
      <c r="IG19" s="35"/>
      <c r="IH19" s="35"/>
      <c r="II19" s="35"/>
      <c r="IJ19" s="35"/>
      <c r="IK19" s="35"/>
      <c r="IL19" s="35"/>
      <c r="IM19" s="35"/>
      <c r="IN19" s="35"/>
      <c r="IO19" s="35"/>
      <c r="IP19" s="35"/>
      <c r="IQ19" s="35"/>
      <c r="IR19" s="35"/>
      <c r="IS19" s="35"/>
      <c r="IT19" s="35"/>
    </row>
    <row r="20" spans="1:254" ht="21" customHeight="1" x14ac:dyDescent="0.3">
      <c r="A20" s="46" t="s">
        <v>182</v>
      </c>
      <c r="B20" s="42" t="s">
        <v>115</v>
      </c>
      <c r="C20" s="265" t="s">
        <v>183</v>
      </c>
      <c r="D20" s="42" t="s">
        <v>49</v>
      </c>
      <c r="E20" s="42" t="s">
        <v>50</v>
      </c>
      <c r="F20" s="43">
        <f>'В-25'!G400</f>
        <v>100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  <c r="IB20" s="35"/>
      <c r="IC20" s="35"/>
      <c r="ID20" s="35"/>
      <c r="IE20" s="35"/>
      <c r="IF20" s="35"/>
      <c r="IG20" s="35"/>
      <c r="IH20" s="35"/>
      <c r="II20" s="35"/>
      <c r="IJ20" s="35"/>
      <c r="IK20" s="35"/>
      <c r="IL20" s="35"/>
      <c r="IM20" s="35"/>
      <c r="IN20" s="35"/>
      <c r="IO20" s="35"/>
      <c r="IP20" s="35"/>
      <c r="IQ20" s="35"/>
      <c r="IR20" s="35"/>
      <c r="IS20" s="35"/>
      <c r="IT20" s="35"/>
    </row>
    <row r="21" spans="1:254" ht="18.75" x14ac:dyDescent="0.3">
      <c r="A21" s="46" t="s">
        <v>211</v>
      </c>
      <c r="B21" s="42" t="s">
        <v>115</v>
      </c>
      <c r="C21" s="265" t="s">
        <v>189</v>
      </c>
      <c r="D21" s="42" t="s">
        <v>49</v>
      </c>
      <c r="E21" s="47" t="s">
        <v>213</v>
      </c>
      <c r="F21" s="43">
        <f>'В-25'!G547</f>
        <v>42398.650360000007</v>
      </c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</row>
    <row r="22" spans="1:254" ht="37.5" x14ac:dyDescent="0.3">
      <c r="A22" s="46" t="s">
        <v>233</v>
      </c>
      <c r="B22" s="42" t="s">
        <v>117</v>
      </c>
      <c r="C22" s="42" t="s">
        <v>112</v>
      </c>
      <c r="D22" s="42" t="s">
        <v>49</v>
      </c>
      <c r="E22" s="42" t="s">
        <v>50</v>
      </c>
      <c r="F22" s="43">
        <f>F23+F24</f>
        <v>97849.01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  <c r="IB22" s="35"/>
      <c r="IC22" s="35"/>
      <c r="ID22" s="35"/>
      <c r="IE22" s="35"/>
      <c r="IF22" s="35"/>
      <c r="IG22" s="35"/>
      <c r="IH22" s="35"/>
      <c r="II22" s="35"/>
      <c r="IJ22" s="35"/>
      <c r="IK22" s="35"/>
      <c r="IL22" s="35"/>
      <c r="IM22" s="35"/>
      <c r="IN22" s="35"/>
      <c r="IO22" s="35"/>
      <c r="IP22" s="35"/>
      <c r="IQ22" s="35"/>
      <c r="IR22" s="35"/>
      <c r="IS22" s="35"/>
      <c r="IT22" s="35"/>
    </row>
    <row r="23" spans="1:254" ht="63.75" customHeight="1" x14ac:dyDescent="0.3">
      <c r="A23" s="99" t="s">
        <v>563</v>
      </c>
      <c r="B23" s="42" t="s">
        <v>117</v>
      </c>
      <c r="C23" s="42" t="s">
        <v>169</v>
      </c>
      <c r="D23" s="42" t="s">
        <v>49</v>
      </c>
      <c r="E23" s="42" t="s">
        <v>50</v>
      </c>
      <c r="F23" s="43">
        <f>'В-25'!G623</f>
        <v>97446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  <c r="IS23" s="35"/>
      <c r="IT23" s="35"/>
    </row>
    <row r="24" spans="1:254" s="48" customFormat="1" ht="57.75" customHeight="1" x14ac:dyDescent="0.3">
      <c r="A24" s="46" t="s">
        <v>239</v>
      </c>
      <c r="B24" s="42" t="s">
        <v>117</v>
      </c>
      <c r="C24" s="42" t="s">
        <v>240</v>
      </c>
      <c r="D24" s="42" t="s">
        <v>49</v>
      </c>
      <c r="E24" s="42" t="s">
        <v>50</v>
      </c>
      <c r="F24" s="44">
        <f>'В-25'!G671</f>
        <v>403.01</v>
      </c>
      <c r="G24" s="36"/>
    </row>
    <row r="25" spans="1:254" ht="18.75" x14ac:dyDescent="0.3">
      <c r="A25" s="46" t="s">
        <v>243</v>
      </c>
      <c r="B25" s="265" t="s">
        <v>121</v>
      </c>
      <c r="C25" s="265" t="s">
        <v>112</v>
      </c>
      <c r="D25" s="42" t="s">
        <v>49</v>
      </c>
      <c r="E25" s="42" t="s">
        <v>50</v>
      </c>
      <c r="F25" s="44">
        <f>SUM(F26:F29)</f>
        <v>182200.70800000001</v>
      </c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  <c r="IB25" s="35"/>
      <c r="IC25" s="35"/>
      <c r="ID25" s="35"/>
      <c r="IE25" s="35"/>
      <c r="IF25" s="35"/>
      <c r="IG25" s="35"/>
      <c r="IH25" s="35"/>
      <c r="II25" s="35"/>
      <c r="IJ25" s="35"/>
      <c r="IK25" s="35"/>
      <c r="IL25" s="35"/>
      <c r="IM25" s="35"/>
      <c r="IN25" s="35"/>
      <c r="IO25" s="35"/>
      <c r="IP25" s="35"/>
      <c r="IQ25" s="35"/>
      <c r="IR25" s="35"/>
      <c r="IS25" s="35"/>
      <c r="IT25" s="35"/>
    </row>
    <row r="26" spans="1:254" ht="18.75" hidden="1" x14ac:dyDescent="0.3">
      <c r="A26" s="49" t="s">
        <v>244</v>
      </c>
      <c r="B26" s="265" t="s">
        <v>121</v>
      </c>
      <c r="C26" s="265" t="s">
        <v>209</v>
      </c>
      <c r="D26" s="42" t="s">
        <v>49</v>
      </c>
      <c r="E26" s="42" t="s">
        <v>50</v>
      </c>
      <c r="F26" s="44">
        <f>'В-25'!G696</f>
        <v>0</v>
      </c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  <c r="IT26" s="35"/>
    </row>
    <row r="27" spans="1:254" ht="18.75" x14ac:dyDescent="0.3">
      <c r="A27" s="46" t="s">
        <v>343</v>
      </c>
      <c r="B27" s="42" t="s">
        <v>121</v>
      </c>
      <c r="C27" s="42" t="s">
        <v>130</v>
      </c>
      <c r="D27" s="42" t="s">
        <v>49</v>
      </c>
      <c r="E27" s="42" t="s">
        <v>50</v>
      </c>
      <c r="F27" s="44">
        <f>'В-25'!G705</f>
        <v>700.2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  <c r="IQ27" s="35"/>
      <c r="IR27" s="35"/>
      <c r="IS27" s="35"/>
      <c r="IT27" s="35"/>
    </row>
    <row r="28" spans="1:254" ht="18.75" x14ac:dyDescent="0.3">
      <c r="A28" s="46" t="s">
        <v>247</v>
      </c>
      <c r="B28" s="42" t="s">
        <v>121</v>
      </c>
      <c r="C28" s="42" t="s">
        <v>128</v>
      </c>
      <c r="D28" s="42" t="s">
        <v>49</v>
      </c>
      <c r="E28" s="265" t="s">
        <v>50</v>
      </c>
      <c r="F28" s="43">
        <f>'В-25'!G722</f>
        <v>180268.008</v>
      </c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  <c r="IT28" s="35"/>
    </row>
    <row r="29" spans="1:254" ht="40.5" customHeight="1" x14ac:dyDescent="0.3">
      <c r="A29" s="46" t="s">
        <v>258</v>
      </c>
      <c r="B29" s="42" t="s">
        <v>121</v>
      </c>
      <c r="C29" s="265">
        <v>12</v>
      </c>
      <c r="D29" s="42" t="s">
        <v>49</v>
      </c>
      <c r="E29" s="42" t="s">
        <v>50</v>
      </c>
      <c r="F29" s="43">
        <f>'В-25'!G862</f>
        <v>1232.5</v>
      </c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</row>
    <row r="30" spans="1:254" ht="18.75" x14ac:dyDescent="0.3">
      <c r="A30" s="46" t="s">
        <v>274</v>
      </c>
      <c r="B30" s="42" t="s">
        <v>209</v>
      </c>
      <c r="C30" s="42" t="s">
        <v>112</v>
      </c>
      <c r="D30" s="42" t="s">
        <v>49</v>
      </c>
      <c r="E30" s="42" t="s">
        <v>50</v>
      </c>
      <c r="F30" s="43">
        <f>SUM(F31:F34)</f>
        <v>559251.18400000001</v>
      </c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  <c r="IB30" s="35"/>
      <c r="IC30" s="35"/>
      <c r="ID30" s="35"/>
      <c r="IE30" s="35"/>
      <c r="IF30" s="35"/>
      <c r="IG30" s="35"/>
      <c r="IH30" s="35"/>
      <c r="II30" s="35"/>
      <c r="IJ30" s="35"/>
      <c r="IK30" s="35"/>
      <c r="IL30" s="35"/>
      <c r="IM30" s="35"/>
      <c r="IN30" s="35"/>
      <c r="IO30" s="35"/>
      <c r="IP30" s="35"/>
      <c r="IQ30" s="35"/>
      <c r="IR30" s="35"/>
      <c r="IS30" s="35"/>
      <c r="IT30" s="35"/>
    </row>
    <row r="31" spans="1:254" ht="18.75" x14ac:dyDescent="0.3">
      <c r="A31" s="46" t="s">
        <v>275</v>
      </c>
      <c r="B31" s="42" t="s">
        <v>209</v>
      </c>
      <c r="C31" s="42" t="s">
        <v>115</v>
      </c>
      <c r="D31" s="42" t="s">
        <v>49</v>
      </c>
      <c r="E31" s="42" t="s">
        <v>50</v>
      </c>
      <c r="F31" s="43">
        <f>'В-25'!G901</f>
        <v>47587.621229999997</v>
      </c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</row>
    <row r="32" spans="1:254" ht="20.25" customHeight="1" x14ac:dyDescent="0.3">
      <c r="A32" s="46" t="s">
        <v>280</v>
      </c>
      <c r="B32" s="42" t="s">
        <v>209</v>
      </c>
      <c r="C32" s="42" t="s">
        <v>116</v>
      </c>
      <c r="D32" s="42" t="s">
        <v>49</v>
      </c>
      <c r="E32" s="42" t="s">
        <v>50</v>
      </c>
      <c r="F32" s="43">
        <f>'В-25'!G928</f>
        <v>436669.86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  <c r="IR32" s="35"/>
      <c r="IS32" s="35"/>
      <c r="IT32" s="35"/>
    </row>
    <row r="33" spans="1:254" ht="19.5" customHeight="1" x14ac:dyDescent="0.3">
      <c r="A33" s="46" t="s">
        <v>284</v>
      </c>
      <c r="B33" s="42" t="s">
        <v>209</v>
      </c>
      <c r="C33" s="42" t="s">
        <v>117</v>
      </c>
      <c r="D33" s="42" t="s">
        <v>49</v>
      </c>
      <c r="E33" s="42" t="s">
        <v>50</v>
      </c>
      <c r="F33" s="43">
        <f>'В-25'!G965</f>
        <v>74993.702770000004</v>
      </c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  <c r="IK33" s="35"/>
      <c r="IL33" s="35"/>
      <c r="IM33" s="35"/>
      <c r="IN33" s="35"/>
      <c r="IO33" s="35"/>
      <c r="IP33" s="35"/>
      <c r="IQ33" s="35"/>
      <c r="IR33" s="35"/>
      <c r="IS33" s="35"/>
      <c r="IT33" s="35"/>
    </row>
    <row r="34" spans="1:254" ht="42" hidden="1" customHeight="1" x14ac:dyDescent="0.3">
      <c r="A34" s="100" t="s">
        <v>567</v>
      </c>
      <c r="B34" s="42" t="s">
        <v>209</v>
      </c>
      <c r="C34" s="42" t="s">
        <v>209</v>
      </c>
      <c r="D34" s="42" t="s">
        <v>49</v>
      </c>
      <c r="E34" s="42" t="s">
        <v>50</v>
      </c>
      <c r="F34" s="43">
        <f>'В-25'!G1122</f>
        <v>0</v>
      </c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  <c r="IQ34" s="35"/>
      <c r="IR34" s="35"/>
      <c r="IS34" s="35"/>
      <c r="IT34" s="35"/>
    </row>
    <row r="35" spans="1:254" ht="17.25" customHeight="1" x14ac:dyDescent="0.3">
      <c r="A35" s="46" t="s">
        <v>293</v>
      </c>
      <c r="B35" s="42" t="s">
        <v>119</v>
      </c>
      <c r="C35" s="42" t="s">
        <v>112</v>
      </c>
      <c r="D35" s="42" t="s">
        <v>49</v>
      </c>
      <c r="E35" s="42" t="s">
        <v>50</v>
      </c>
      <c r="F35" s="43">
        <f>F36+F37</f>
        <v>505</v>
      </c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</row>
    <row r="36" spans="1:254" ht="36.75" customHeight="1" x14ac:dyDescent="0.3">
      <c r="A36" s="46" t="s">
        <v>294</v>
      </c>
      <c r="B36" s="42" t="s">
        <v>119</v>
      </c>
      <c r="C36" s="42" t="s">
        <v>117</v>
      </c>
      <c r="D36" s="42" t="s">
        <v>49</v>
      </c>
      <c r="E36" s="42" t="s">
        <v>50</v>
      </c>
      <c r="F36" s="43">
        <f>'В-25'!G1132</f>
        <v>505</v>
      </c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</row>
    <row r="37" spans="1:254" ht="36.75" hidden="1" customHeight="1" x14ac:dyDescent="0.3">
      <c r="A37" s="46" t="s">
        <v>295</v>
      </c>
      <c r="B37" s="42" t="s">
        <v>119</v>
      </c>
      <c r="C37" s="42" t="s">
        <v>209</v>
      </c>
      <c r="D37" s="42" t="s">
        <v>49</v>
      </c>
      <c r="E37" s="42" t="s">
        <v>50</v>
      </c>
      <c r="F37" s="43">
        <f>'В-25'!G1138</f>
        <v>0</v>
      </c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</row>
    <row r="38" spans="1:254" ht="18.75" x14ac:dyDescent="0.3">
      <c r="A38" s="46" t="s">
        <v>122</v>
      </c>
      <c r="B38" s="42" t="s">
        <v>123</v>
      </c>
      <c r="C38" s="42" t="s">
        <v>112</v>
      </c>
      <c r="D38" s="42" t="s">
        <v>49</v>
      </c>
      <c r="E38" s="42" t="s">
        <v>50</v>
      </c>
      <c r="F38" s="43">
        <f>SUM(F39:F45)</f>
        <v>713191.03500000003</v>
      </c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</row>
    <row r="39" spans="1:254" ht="18.75" x14ac:dyDescent="0.3">
      <c r="A39" s="46" t="s">
        <v>124</v>
      </c>
      <c r="B39" s="42" t="s">
        <v>123</v>
      </c>
      <c r="C39" s="265" t="s">
        <v>115</v>
      </c>
      <c r="D39" s="42" t="s">
        <v>49</v>
      </c>
      <c r="E39" s="42" t="s">
        <v>50</v>
      </c>
      <c r="F39" s="43">
        <f>'В-25'!G39</f>
        <v>366827.49057999998</v>
      </c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  <c r="IB39" s="35"/>
      <c r="IC39" s="35"/>
      <c r="ID39" s="35"/>
      <c r="IE39" s="35"/>
      <c r="IF39" s="35"/>
      <c r="IG39" s="35"/>
      <c r="IH39" s="35"/>
      <c r="II39" s="35"/>
      <c r="IJ39" s="35"/>
      <c r="IK39" s="35"/>
      <c r="IL39" s="35"/>
      <c r="IM39" s="35"/>
      <c r="IN39" s="35"/>
      <c r="IO39" s="35"/>
      <c r="IP39" s="35"/>
      <c r="IQ39" s="35"/>
      <c r="IR39" s="35"/>
      <c r="IS39" s="35"/>
      <c r="IT39" s="35"/>
    </row>
    <row r="40" spans="1:254" ht="18.75" x14ac:dyDescent="0.3">
      <c r="A40" s="46" t="s">
        <v>125</v>
      </c>
      <c r="B40" s="42" t="s">
        <v>123</v>
      </c>
      <c r="C40" s="265" t="s">
        <v>116</v>
      </c>
      <c r="D40" s="42" t="s">
        <v>49</v>
      </c>
      <c r="E40" s="42" t="s">
        <v>50</v>
      </c>
      <c r="F40" s="43">
        <f>'В-25'!G83+'В-25'!G1158</f>
        <v>288079.52843999997</v>
      </c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</row>
    <row r="41" spans="1:254" ht="18.75" x14ac:dyDescent="0.3">
      <c r="A41" s="46" t="s">
        <v>126</v>
      </c>
      <c r="B41" s="42" t="s">
        <v>123</v>
      </c>
      <c r="C41" s="265" t="s">
        <v>117</v>
      </c>
      <c r="D41" s="42" t="s">
        <v>49</v>
      </c>
      <c r="E41" s="42" t="s">
        <v>50</v>
      </c>
      <c r="F41" s="43">
        <f>'В-25'!G1175+'В-25'!G177</f>
        <v>32481.182000000004</v>
      </c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</row>
    <row r="42" spans="1:254" s="50" customFormat="1" ht="30.75" hidden="1" customHeight="1" x14ac:dyDescent="0.3">
      <c r="A42" s="264" t="s">
        <v>344</v>
      </c>
      <c r="B42" s="42" t="s">
        <v>123</v>
      </c>
      <c r="C42" s="265" t="s">
        <v>209</v>
      </c>
      <c r="D42" s="42" t="s">
        <v>49</v>
      </c>
      <c r="E42" s="42" t="s">
        <v>50</v>
      </c>
      <c r="F42" s="44"/>
    </row>
    <row r="43" spans="1:254" s="50" customFormat="1" ht="37.5" customHeight="1" x14ac:dyDescent="0.3">
      <c r="A43" s="264" t="s">
        <v>344</v>
      </c>
      <c r="B43" s="42" t="s">
        <v>123</v>
      </c>
      <c r="C43" s="265" t="s">
        <v>209</v>
      </c>
      <c r="D43" s="42" t="s">
        <v>49</v>
      </c>
      <c r="E43" s="42" t="s">
        <v>50</v>
      </c>
      <c r="F43" s="44">
        <f>'В-25'!G406+'В-25'!G1211</f>
        <v>139.09</v>
      </c>
    </row>
    <row r="44" spans="1:254" ht="37.5" x14ac:dyDescent="0.3">
      <c r="A44" s="46" t="s">
        <v>147</v>
      </c>
      <c r="B44" s="42" t="s">
        <v>123</v>
      </c>
      <c r="C44" s="265" t="s">
        <v>123</v>
      </c>
      <c r="D44" s="42" t="s">
        <v>49</v>
      </c>
      <c r="E44" s="42" t="s">
        <v>50</v>
      </c>
      <c r="F44" s="43">
        <f>'В-25'!G1240+'В-25'!G226+'В-25'!G435</f>
        <v>7142.2469999999994</v>
      </c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</row>
    <row r="45" spans="1:254" ht="18.75" x14ac:dyDescent="0.3">
      <c r="A45" s="46" t="s">
        <v>127</v>
      </c>
      <c r="B45" s="42" t="s">
        <v>123</v>
      </c>
      <c r="C45" s="265" t="s">
        <v>128</v>
      </c>
      <c r="D45" s="42" t="s">
        <v>49</v>
      </c>
      <c r="E45" s="42" t="s">
        <v>50</v>
      </c>
      <c r="F45" s="43">
        <f>'В-25'!G284</f>
        <v>18521.49698</v>
      </c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  <c r="HT45" s="35"/>
      <c r="HU45" s="35"/>
      <c r="HV45" s="35"/>
      <c r="HW45" s="35"/>
      <c r="HX45" s="35"/>
      <c r="HY45" s="35"/>
      <c r="HZ45" s="35"/>
      <c r="IA45" s="35"/>
      <c r="IB45" s="35"/>
      <c r="IC45" s="35"/>
      <c r="ID45" s="35"/>
      <c r="IE45" s="35"/>
      <c r="IF45" s="35"/>
      <c r="IG45" s="35"/>
      <c r="IH45" s="35"/>
      <c r="II45" s="35"/>
      <c r="IJ45" s="35"/>
      <c r="IK45" s="35"/>
      <c r="IL45" s="35"/>
      <c r="IM45" s="35"/>
      <c r="IN45" s="35"/>
      <c r="IO45" s="35"/>
      <c r="IP45" s="35"/>
      <c r="IQ45" s="35"/>
      <c r="IR45" s="35"/>
      <c r="IS45" s="35"/>
      <c r="IT45" s="35"/>
    </row>
    <row r="46" spans="1:254" ht="18.75" x14ac:dyDescent="0.3">
      <c r="A46" s="46" t="s">
        <v>129</v>
      </c>
      <c r="B46" s="265" t="s">
        <v>130</v>
      </c>
      <c r="C46" s="265" t="s">
        <v>112</v>
      </c>
      <c r="D46" s="42" t="s">
        <v>49</v>
      </c>
      <c r="E46" s="42" t="s">
        <v>50</v>
      </c>
      <c r="F46" s="43">
        <f>F47+F48</f>
        <v>99044.900999999998</v>
      </c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  <c r="IT46" s="35"/>
    </row>
    <row r="47" spans="1:254" ht="18.75" x14ac:dyDescent="0.3">
      <c r="A47" s="46" t="s">
        <v>194</v>
      </c>
      <c r="B47" s="265" t="s">
        <v>130</v>
      </c>
      <c r="C47" s="265" t="s">
        <v>115</v>
      </c>
      <c r="D47" s="42" t="s">
        <v>49</v>
      </c>
      <c r="E47" s="42" t="s">
        <v>50</v>
      </c>
      <c r="F47" s="43">
        <f>'В-25'!G441+'В-25'!G1279</f>
        <v>82347.826000000001</v>
      </c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  <c r="FN47" s="35"/>
      <c r="FO47" s="35"/>
      <c r="FP47" s="35"/>
      <c r="FQ47" s="35"/>
      <c r="FR47" s="35"/>
      <c r="FS47" s="35"/>
      <c r="FT47" s="35"/>
      <c r="FU47" s="35"/>
      <c r="FV47" s="35"/>
      <c r="FW47" s="35"/>
      <c r="FX47" s="35"/>
      <c r="FY47" s="35"/>
      <c r="FZ47" s="35"/>
      <c r="GA47" s="35"/>
      <c r="GB47" s="35"/>
      <c r="GC47" s="35"/>
      <c r="GD47" s="35"/>
      <c r="GE47" s="35"/>
      <c r="GF47" s="35"/>
      <c r="GG47" s="35"/>
      <c r="GH47" s="35"/>
      <c r="GI47" s="35"/>
      <c r="GJ47" s="35"/>
      <c r="GK47" s="35"/>
      <c r="GL47" s="35"/>
      <c r="GM47" s="35"/>
      <c r="GN47" s="35"/>
      <c r="GO47" s="35"/>
      <c r="GP47" s="35"/>
      <c r="GQ47" s="35"/>
      <c r="GR47" s="35"/>
      <c r="GS47" s="35"/>
      <c r="GT47" s="35"/>
      <c r="GU47" s="35"/>
      <c r="GV47" s="35"/>
      <c r="GW47" s="35"/>
      <c r="GX47" s="35"/>
      <c r="GY47" s="35"/>
      <c r="GZ47" s="35"/>
      <c r="HA47" s="35"/>
      <c r="HB47" s="35"/>
      <c r="HC47" s="35"/>
      <c r="HD47" s="35"/>
      <c r="HE47" s="35"/>
      <c r="HF47" s="35"/>
      <c r="HG47" s="35"/>
      <c r="HH47" s="35"/>
      <c r="HI47" s="35"/>
      <c r="HJ47" s="35"/>
      <c r="HK47" s="35"/>
      <c r="HL47" s="35"/>
      <c r="HM47" s="35"/>
      <c r="HN47" s="35"/>
      <c r="HO47" s="35"/>
      <c r="HP47" s="35"/>
      <c r="HQ47" s="35"/>
      <c r="HR47" s="35"/>
      <c r="HS47" s="35"/>
      <c r="HT47" s="35"/>
      <c r="HU47" s="35"/>
      <c r="HV47" s="35"/>
      <c r="HW47" s="35"/>
      <c r="HX47" s="35"/>
      <c r="HY47" s="35"/>
      <c r="HZ47" s="35"/>
      <c r="IA47" s="35"/>
      <c r="IB47" s="35"/>
      <c r="IC47" s="35"/>
      <c r="ID47" s="35"/>
      <c r="IE47" s="35"/>
      <c r="IF47" s="35"/>
      <c r="IG47" s="35"/>
      <c r="IH47" s="35"/>
      <c r="II47" s="35"/>
      <c r="IJ47" s="35"/>
      <c r="IK47" s="35"/>
      <c r="IL47" s="35"/>
      <c r="IM47" s="35"/>
      <c r="IN47" s="35"/>
      <c r="IO47" s="35"/>
      <c r="IP47" s="35"/>
      <c r="IQ47" s="35"/>
      <c r="IR47" s="35"/>
      <c r="IS47" s="35"/>
      <c r="IT47" s="35"/>
    </row>
    <row r="48" spans="1:254" ht="37.5" x14ac:dyDescent="0.3">
      <c r="A48" s="46" t="s">
        <v>131</v>
      </c>
      <c r="B48" s="265" t="s">
        <v>130</v>
      </c>
      <c r="C48" s="265" t="s">
        <v>121</v>
      </c>
      <c r="D48" s="42" t="s">
        <v>49</v>
      </c>
      <c r="E48" s="42" t="s">
        <v>50</v>
      </c>
      <c r="F48" s="43">
        <f>'В-25'!G313+'В-25'!G1364</f>
        <v>16697.075000000001</v>
      </c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</row>
    <row r="49" spans="1:254" s="50" customFormat="1" ht="18.75" hidden="1" x14ac:dyDescent="0.3">
      <c r="A49" s="264" t="s">
        <v>345</v>
      </c>
      <c r="B49" s="42" t="s">
        <v>128</v>
      </c>
      <c r="C49" s="265" t="s">
        <v>112</v>
      </c>
      <c r="D49" s="42" t="s">
        <v>49</v>
      </c>
      <c r="E49" s="42" t="s">
        <v>50</v>
      </c>
      <c r="F49" s="44">
        <f>F50</f>
        <v>0</v>
      </c>
    </row>
    <row r="50" spans="1:254" s="50" customFormat="1" ht="37.5" hidden="1" x14ac:dyDescent="0.3">
      <c r="A50" s="264" t="s">
        <v>346</v>
      </c>
      <c r="B50" s="42" t="s">
        <v>128</v>
      </c>
      <c r="C50" s="265" t="s">
        <v>115</v>
      </c>
      <c r="D50" s="42" t="s">
        <v>49</v>
      </c>
      <c r="E50" s="42" t="s">
        <v>50</v>
      </c>
      <c r="F50" s="44">
        <f>'В-25'!G1369</f>
        <v>0</v>
      </c>
    </row>
    <row r="51" spans="1:254" s="50" customFormat="1" ht="18.75" hidden="1" x14ac:dyDescent="0.3">
      <c r="A51" s="14" t="s">
        <v>345</v>
      </c>
      <c r="B51" s="42" t="s">
        <v>128</v>
      </c>
      <c r="C51" s="265" t="s">
        <v>112</v>
      </c>
      <c r="D51" s="42" t="s">
        <v>49</v>
      </c>
      <c r="E51" s="42" t="s">
        <v>50</v>
      </c>
      <c r="F51" s="44">
        <f>F53</f>
        <v>0</v>
      </c>
    </row>
    <row r="52" spans="1:254" s="50" customFormat="1" ht="27" hidden="1" customHeight="1" x14ac:dyDescent="0.3">
      <c r="A52" s="14" t="s">
        <v>487</v>
      </c>
      <c r="B52" s="42" t="s">
        <v>128</v>
      </c>
      <c r="C52" s="69" t="s">
        <v>123</v>
      </c>
      <c r="D52" s="42" t="s">
        <v>49</v>
      </c>
      <c r="E52" s="42" t="s">
        <v>50</v>
      </c>
      <c r="F52" s="44">
        <v>0</v>
      </c>
    </row>
    <row r="53" spans="1:254" s="50" customFormat="1" ht="27" hidden="1" customHeight="1" x14ac:dyDescent="0.3">
      <c r="A53" s="14" t="s">
        <v>346</v>
      </c>
      <c r="B53" s="42" t="s">
        <v>128</v>
      </c>
      <c r="C53" s="69" t="s">
        <v>128</v>
      </c>
      <c r="D53" s="42" t="s">
        <v>49</v>
      </c>
      <c r="E53" s="42" t="s">
        <v>50</v>
      </c>
      <c r="F53" s="44">
        <v>0</v>
      </c>
    </row>
    <row r="54" spans="1:254" ht="18.75" x14ac:dyDescent="0.3">
      <c r="A54" s="46" t="s">
        <v>166</v>
      </c>
      <c r="B54" s="265">
        <v>10</v>
      </c>
      <c r="C54" s="265" t="s">
        <v>112</v>
      </c>
      <c r="D54" s="42" t="s">
        <v>49</v>
      </c>
      <c r="E54" s="42" t="s">
        <v>50</v>
      </c>
      <c r="F54" s="43">
        <f>SUM(F55:F58)</f>
        <v>47967.009640000004</v>
      </c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  <c r="FN54" s="35"/>
      <c r="FO54" s="35"/>
      <c r="FP54" s="35"/>
      <c r="FQ54" s="35"/>
      <c r="FR54" s="35"/>
      <c r="FS54" s="35"/>
      <c r="FT54" s="35"/>
      <c r="FU54" s="35"/>
      <c r="FV54" s="35"/>
      <c r="FW54" s="35"/>
      <c r="FX54" s="35"/>
      <c r="FY54" s="35"/>
      <c r="FZ54" s="35"/>
      <c r="GA54" s="35"/>
      <c r="GB54" s="35"/>
      <c r="GC54" s="35"/>
      <c r="GD54" s="35"/>
      <c r="GE54" s="35"/>
      <c r="GF54" s="35"/>
      <c r="GG54" s="35"/>
      <c r="GH54" s="35"/>
      <c r="GI54" s="35"/>
      <c r="GJ54" s="35"/>
      <c r="GK54" s="35"/>
      <c r="GL54" s="35"/>
      <c r="GM54" s="35"/>
      <c r="GN54" s="35"/>
      <c r="GO54" s="35"/>
      <c r="GP54" s="35"/>
      <c r="GQ54" s="35"/>
      <c r="GR54" s="35"/>
      <c r="GS54" s="35"/>
      <c r="GT54" s="35"/>
      <c r="GU54" s="35"/>
      <c r="GV54" s="35"/>
      <c r="GW54" s="35"/>
      <c r="GX54" s="35"/>
      <c r="GY54" s="35"/>
      <c r="GZ54" s="35"/>
      <c r="HA54" s="35"/>
      <c r="HB54" s="35"/>
      <c r="HC54" s="35"/>
      <c r="HD54" s="35"/>
      <c r="HE54" s="35"/>
      <c r="HF54" s="35"/>
      <c r="HG54" s="35"/>
      <c r="HH54" s="35"/>
      <c r="HI54" s="35"/>
      <c r="HJ54" s="35"/>
      <c r="HK54" s="35"/>
      <c r="HL54" s="35"/>
      <c r="HM54" s="35"/>
      <c r="HN54" s="35"/>
      <c r="HO54" s="35"/>
      <c r="HP54" s="35"/>
      <c r="HQ54" s="35"/>
      <c r="HR54" s="35"/>
      <c r="HS54" s="35"/>
      <c r="HT54" s="35"/>
      <c r="HU54" s="35"/>
      <c r="HV54" s="35"/>
      <c r="HW54" s="35"/>
      <c r="HX54" s="35"/>
      <c r="HY54" s="35"/>
      <c r="HZ54" s="35"/>
      <c r="IA54" s="35"/>
      <c r="IB54" s="35"/>
      <c r="IC54" s="35"/>
      <c r="ID54" s="35"/>
      <c r="IE54" s="35"/>
      <c r="IF54" s="35"/>
      <c r="IG54" s="35"/>
      <c r="IH54" s="35"/>
      <c r="II54" s="35"/>
      <c r="IJ54" s="35"/>
      <c r="IK54" s="35"/>
      <c r="IL54" s="35"/>
      <c r="IM54" s="35"/>
      <c r="IN54" s="35"/>
      <c r="IO54" s="35"/>
      <c r="IP54" s="35"/>
      <c r="IQ54" s="35"/>
      <c r="IR54" s="35"/>
      <c r="IS54" s="35"/>
      <c r="IT54" s="35"/>
    </row>
    <row r="55" spans="1:254" ht="18.75" x14ac:dyDescent="0.3">
      <c r="A55" s="46" t="s">
        <v>315</v>
      </c>
      <c r="B55" s="265">
        <v>10</v>
      </c>
      <c r="C55" s="265" t="s">
        <v>115</v>
      </c>
      <c r="D55" s="42" t="s">
        <v>49</v>
      </c>
      <c r="E55" s="42" t="s">
        <v>50</v>
      </c>
      <c r="F55" s="43">
        <f>'В-25'!G1403</f>
        <v>2001</v>
      </c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  <c r="FJ55" s="35"/>
      <c r="FK55" s="35"/>
      <c r="FL55" s="35"/>
      <c r="FM55" s="35"/>
      <c r="FN55" s="35"/>
      <c r="FO55" s="35"/>
      <c r="FP55" s="35"/>
      <c r="FQ55" s="35"/>
      <c r="FR55" s="35"/>
      <c r="FS55" s="35"/>
      <c r="FT55" s="35"/>
      <c r="FU55" s="35"/>
      <c r="FV55" s="35"/>
      <c r="FW55" s="35"/>
      <c r="FX55" s="35"/>
      <c r="FY55" s="35"/>
      <c r="FZ55" s="35"/>
      <c r="GA55" s="35"/>
      <c r="GB55" s="35"/>
      <c r="GC55" s="35"/>
      <c r="GD55" s="35"/>
      <c r="GE55" s="35"/>
      <c r="GF55" s="35"/>
      <c r="GG55" s="35"/>
      <c r="GH55" s="35"/>
      <c r="GI55" s="35"/>
      <c r="GJ55" s="35"/>
      <c r="GK55" s="35"/>
      <c r="GL55" s="35"/>
      <c r="GM55" s="35"/>
      <c r="GN55" s="35"/>
      <c r="GO55" s="35"/>
      <c r="GP55" s="35"/>
      <c r="GQ55" s="35"/>
      <c r="GR55" s="35"/>
      <c r="GS55" s="35"/>
      <c r="GT55" s="35"/>
      <c r="GU55" s="35"/>
      <c r="GV55" s="35"/>
      <c r="GW55" s="35"/>
      <c r="GX55" s="35"/>
      <c r="GY55" s="35"/>
      <c r="GZ55" s="35"/>
      <c r="HA55" s="35"/>
      <c r="HB55" s="35"/>
      <c r="HC55" s="35"/>
      <c r="HD55" s="35"/>
      <c r="HE55" s="35"/>
      <c r="HF55" s="35"/>
      <c r="HG55" s="35"/>
      <c r="HH55" s="35"/>
      <c r="HI55" s="35"/>
      <c r="HJ55" s="35"/>
      <c r="HK55" s="35"/>
      <c r="HL55" s="35"/>
      <c r="HM55" s="35"/>
      <c r="HN55" s="35"/>
      <c r="HO55" s="35"/>
      <c r="HP55" s="35"/>
      <c r="HQ55" s="35"/>
      <c r="HR55" s="35"/>
      <c r="HS55" s="35"/>
      <c r="HT55" s="35"/>
      <c r="HU55" s="35"/>
      <c r="HV55" s="35"/>
      <c r="HW55" s="35"/>
      <c r="HX55" s="35"/>
      <c r="HY55" s="35"/>
      <c r="HZ55" s="35"/>
      <c r="IA55" s="35"/>
      <c r="IB55" s="35"/>
      <c r="IC55" s="35"/>
      <c r="ID55" s="35"/>
      <c r="IE55" s="35"/>
      <c r="IF55" s="35"/>
      <c r="IG55" s="35"/>
      <c r="IH55" s="35"/>
      <c r="II55" s="35"/>
      <c r="IJ55" s="35"/>
      <c r="IK55" s="35"/>
      <c r="IL55" s="35"/>
      <c r="IM55" s="35"/>
      <c r="IN55" s="35"/>
      <c r="IO55" s="35"/>
      <c r="IP55" s="35"/>
      <c r="IQ55" s="35"/>
      <c r="IR55" s="35"/>
      <c r="IS55" s="35"/>
      <c r="IT55" s="35"/>
    </row>
    <row r="56" spans="1:254" ht="18.75" x14ac:dyDescent="0.3">
      <c r="A56" s="46" t="s">
        <v>167</v>
      </c>
      <c r="B56" s="265">
        <v>10</v>
      </c>
      <c r="C56" s="265" t="s">
        <v>117</v>
      </c>
      <c r="D56" s="42" t="s">
        <v>49</v>
      </c>
      <c r="E56" s="42" t="s">
        <v>50</v>
      </c>
      <c r="F56" s="43">
        <f>'В-25'!G1407+'В-25'!G326</f>
        <v>11931.92964</v>
      </c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  <c r="FJ56" s="35"/>
      <c r="FK56" s="35"/>
      <c r="FL56" s="35"/>
      <c r="FM56" s="35"/>
      <c r="FN56" s="35"/>
      <c r="FO56" s="35"/>
      <c r="FP56" s="35"/>
      <c r="FQ56" s="35"/>
      <c r="FR56" s="35"/>
      <c r="FS56" s="35"/>
      <c r="FT56" s="35"/>
      <c r="FU56" s="35"/>
      <c r="FV56" s="35"/>
      <c r="FW56" s="35"/>
      <c r="FX56" s="35"/>
      <c r="FY56" s="35"/>
      <c r="FZ56" s="35"/>
      <c r="GA56" s="35"/>
      <c r="GB56" s="35"/>
      <c r="GC56" s="35"/>
      <c r="GD56" s="35"/>
      <c r="GE56" s="35"/>
      <c r="GF56" s="35"/>
      <c r="GG56" s="35"/>
      <c r="GH56" s="35"/>
      <c r="GI56" s="35"/>
      <c r="GJ56" s="35"/>
      <c r="GK56" s="35"/>
      <c r="GL56" s="35"/>
      <c r="GM56" s="35"/>
      <c r="GN56" s="35"/>
      <c r="GO56" s="35"/>
      <c r="GP56" s="35"/>
      <c r="GQ56" s="35"/>
      <c r="GR56" s="35"/>
      <c r="GS56" s="35"/>
      <c r="GT56" s="35"/>
      <c r="GU56" s="35"/>
      <c r="GV56" s="35"/>
      <c r="GW56" s="35"/>
      <c r="GX56" s="35"/>
      <c r="GY56" s="35"/>
      <c r="GZ56" s="35"/>
      <c r="HA56" s="35"/>
      <c r="HB56" s="35"/>
      <c r="HC56" s="35"/>
      <c r="HD56" s="35"/>
      <c r="HE56" s="35"/>
      <c r="HF56" s="35"/>
      <c r="HG56" s="35"/>
      <c r="HH56" s="35"/>
      <c r="HI56" s="35"/>
      <c r="HJ56" s="35"/>
      <c r="HK56" s="35"/>
      <c r="HL56" s="35"/>
      <c r="HM56" s="35"/>
      <c r="HN56" s="35"/>
      <c r="HO56" s="35"/>
      <c r="HP56" s="35"/>
      <c r="HQ56" s="35"/>
      <c r="HR56" s="35"/>
      <c r="HS56" s="35"/>
      <c r="HT56" s="35"/>
      <c r="HU56" s="35"/>
      <c r="HV56" s="35"/>
      <c r="HW56" s="35"/>
      <c r="HX56" s="35"/>
      <c r="HY56" s="35"/>
      <c r="HZ56" s="35"/>
      <c r="IA56" s="35"/>
      <c r="IB56" s="35"/>
      <c r="IC56" s="35"/>
      <c r="ID56" s="35"/>
      <c r="IE56" s="35"/>
      <c r="IF56" s="35"/>
      <c r="IG56" s="35"/>
      <c r="IH56" s="35"/>
      <c r="II56" s="35"/>
      <c r="IJ56" s="35"/>
      <c r="IK56" s="35"/>
      <c r="IL56" s="35"/>
      <c r="IM56" s="35"/>
      <c r="IN56" s="35"/>
      <c r="IO56" s="35"/>
      <c r="IP56" s="35"/>
      <c r="IQ56" s="35"/>
      <c r="IR56" s="35"/>
      <c r="IS56" s="35"/>
      <c r="IT56" s="35"/>
    </row>
    <row r="57" spans="1:254" ht="20.25" customHeight="1" x14ac:dyDescent="0.3">
      <c r="A57" s="46" t="s">
        <v>171</v>
      </c>
      <c r="B57" s="265">
        <v>10</v>
      </c>
      <c r="C57" s="265" t="s">
        <v>121</v>
      </c>
      <c r="D57" s="42" t="s">
        <v>49</v>
      </c>
      <c r="E57" s="42" t="s">
        <v>50</v>
      </c>
      <c r="F57" s="43">
        <f>'В-25'!G339+'В-25'!G1429+'В-25'!G420</f>
        <v>33004.080000000002</v>
      </c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  <c r="IT57" s="35"/>
    </row>
    <row r="58" spans="1:254" ht="37.5" customHeight="1" x14ac:dyDescent="0.3">
      <c r="A58" s="46" t="s">
        <v>326</v>
      </c>
      <c r="B58" s="265" t="s">
        <v>169</v>
      </c>
      <c r="C58" s="265" t="s">
        <v>119</v>
      </c>
      <c r="D58" s="42" t="s">
        <v>49</v>
      </c>
      <c r="E58" s="42" t="s">
        <v>50</v>
      </c>
      <c r="F58" s="43">
        <f>'В-25'!G1484</f>
        <v>1030</v>
      </c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  <c r="EB58" s="35"/>
      <c r="EC58" s="35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35"/>
      <c r="FG58" s="35"/>
      <c r="FH58" s="35"/>
      <c r="FI58" s="35"/>
      <c r="FJ58" s="35"/>
      <c r="FK58" s="35"/>
      <c r="FL58" s="35"/>
      <c r="FM58" s="35"/>
      <c r="FN58" s="35"/>
      <c r="FO58" s="35"/>
      <c r="FP58" s="35"/>
      <c r="FQ58" s="35"/>
      <c r="FR58" s="35"/>
      <c r="FS58" s="35"/>
      <c r="FT58" s="35"/>
      <c r="FU58" s="35"/>
      <c r="FV58" s="35"/>
      <c r="FW58" s="35"/>
      <c r="FX58" s="35"/>
      <c r="FY58" s="35"/>
      <c r="FZ58" s="35"/>
      <c r="GA58" s="35"/>
      <c r="GB58" s="35"/>
      <c r="GC58" s="35"/>
      <c r="GD58" s="35"/>
      <c r="GE58" s="35"/>
      <c r="GF58" s="35"/>
      <c r="GG58" s="35"/>
      <c r="GH58" s="35"/>
      <c r="GI58" s="35"/>
      <c r="GJ58" s="35"/>
      <c r="GK58" s="35"/>
      <c r="GL58" s="35"/>
      <c r="GM58" s="35"/>
      <c r="GN58" s="35"/>
      <c r="GO58" s="35"/>
      <c r="GP58" s="35"/>
      <c r="GQ58" s="35"/>
      <c r="GR58" s="35"/>
      <c r="GS58" s="35"/>
      <c r="GT58" s="35"/>
      <c r="GU58" s="35"/>
      <c r="GV58" s="35"/>
      <c r="GW58" s="35"/>
      <c r="GX58" s="35"/>
      <c r="GY58" s="35"/>
      <c r="GZ58" s="35"/>
      <c r="HA58" s="35"/>
      <c r="HB58" s="35"/>
      <c r="HC58" s="35"/>
      <c r="HD58" s="35"/>
      <c r="HE58" s="35"/>
      <c r="HF58" s="35"/>
      <c r="HG58" s="35"/>
      <c r="HH58" s="35"/>
      <c r="HI58" s="35"/>
      <c r="HJ58" s="35"/>
      <c r="HK58" s="35"/>
      <c r="HL58" s="35"/>
      <c r="HM58" s="35"/>
      <c r="HN58" s="35"/>
      <c r="HO58" s="35"/>
      <c r="HP58" s="35"/>
      <c r="HQ58" s="35"/>
      <c r="HR58" s="35"/>
      <c r="HS58" s="35"/>
      <c r="HT58" s="35"/>
      <c r="HU58" s="35"/>
      <c r="HV58" s="35"/>
      <c r="HW58" s="35"/>
      <c r="HX58" s="35"/>
      <c r="HY58" s="35"/>
      <c r="HZ58" s="35"/>
      <c r="IA58" s="35"/>
      <c r="IB58" s="35"/>
      <c r="IC58" s="35"/>
      <c r="ID58" s="35"/>
      <c r="IE58" s="35"/>
      <c r="IF58" s="35"/>
      <c r="IG58" s="35"/>
      <c r="IH58" s="35"/>
      <c r="II58" s="35"/>
      <c r="IJ58" s="35"/>
      <c r="IK58" s="35"/>
      <c r="IL58" s="35"/>
      <c r="IM58" s="35"/>
      <c r="IN58" s="35"/>
      <c r="IO58" s="35"/>
      <c r="IP58" s="35"/>
      <c r="IQ58" s="35"/>
      <c r="IR58" s="35"/>
      <c r="IS58" s="35"/>
      <c r="IT58" s="35"/>
    </row>
    <row r="59" spans="1:254" ht="18.75" x14ac:dyDescent="0.3">
      <c r="A59" s="51" t="s">
        <v>329</v>
      </c>
      <c r="B59" s="52">
        <v>11</v>
      </c>
      <c r="C59" s="42" t="s">
        <v>112</v>
      </c>
      <c r="D59" s="42" t="s">
        <v>49</v>
      </c>
      <c r="E59" s="42" t="s">
        <v>50</v>
      </c>
      <c r="F59" s="43">
        <f>F60+F61</f>
        <v>72712.318999999989</v>
      </c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5"/>
      <c r="ER59" s="35"/>
      <c r="ES59" s="35"/>
      <c r="ET59" s="35"/>
      <c r="EU59" s="35"/>
      <c r="EV59" s="35"/>
      <c r="EW59" s="35"/>
      <c r="EX59" s="35"/>
      <c r="EY59" s="35"/>
      <c r="EZ59" s="35"/>
      <c r="FA59" s="35"/>
      <c r="FB59" s="35"/>
      <c r="FC59" s="35"/>
      <c r="FD59" s="35"/>
      <c r="FE59" s="35"/>
      <c r="FF59" s="35"/>
      <c r="FG59" s="35"/>
      <c r="FH59" s="35"/>
      <c r="FI59" s="35"/>
      <c r="FJ59" s="35"/>
      <c r="FK59" s="35"/>
      <c r="FL59" s="35"/>
      <c r="FM59" s="35"/>
      <c r="FN59" s="35"/>
      <c r="FO59" s="35"/>
      <c r="FP59" s="35"/>
      <c r="FQ59" s="35"/>
      <c r="FR59" s="35"/>
      <c r="FS59" s="35"/>
      <c r="FT59" s="35"/>
      <c r="FU59" s="35"/>
      <c r="FV59" s="35"/>
      <c r="FW59" s="35"/>
      <c r="FX59" s="35"/>
      <c r="FY59" s="35"/>
      <c r="FZ59" s="35"/>
      <c r="GA59" s="35"/>
      <c r="GB59" s="35"/>
      <c r="GC59" s="35"/>
      <c r="GD59" s="35"/>
      <c r="GE59" s="35"/>
      <c r="GF59" s="35"/>
      <c r="GG59" s="35"/>
      <c r="GH59" s="35"/>
      <c r="GI59" s="35"/>
      <c r="GJ59" s="35"/>
      <c r="GK59" s="35"/>
      <c r="GL59" s="35"/>
      <c r="GM59" s="35"/>
      <c r="GN59" s="35"/>
      <c r="GO59" s="35"/>
      <c r="GP59" s="35"/>
      <c r="GQ59" s="35"/>
      <c r="GR59" s="35"/>
      <c r="GS59" s="35"/>
      <c r="GT59" s="35"/>
      <c r="GU59" s="35"/>
      <c r="GV59" s="35"/>
      <c r="GW59" s="35"/>
      <c r="GX59" s="35"/>
      <c r="GY59" s="35"/>
      <c r="GZ59" s="35"/>
      <c r="HA59" s="35"/>
      <c r="HB59" s="35"/>
      <c r="HC59" s="35"/>
      <c r="HD59" s="35"/>
      <c r="HE59" s="35"/>
      <c r="HF59" s="35"/>
      <c r="HG59" s="35"/>
      <c r="HH59" s="35"/>
      <c r="HI59" s="35"/>
      <c r="HJ59" s="35"/>
      <c r="HK59" s="35"/>
      <c r="HL59" s="35"/>
      <c r="HM59" s="35"/>
      <c r="HN59" s="35"/>
      <c r="HO59" s="35"/>
      <c r="HP59" s="35"/>
      <c r="HQ59" s="35"/>
      <c r="HR59" s="35"/>
      <c r="HS59" s="35"/>
      <c r="HT59" s="35"/>
      <c r="HU59" s="35"/>
      <c r="HV59" s="35"/>
      <c r="HW59" s="35"/>
      <c r="HX59" s="35"/>
      <c r="HY59" s="35"/>
      <c r="HZ59" s="35"/>
      <c r="IA59" s="35"/>
      <c r="IB59" s="35"/>
      <c r="IC59" s="35"/>
      <c r="ID59" s="35"/>
      <c r="IE59" s="35"/>
      <c r="IF59" s="35"/>
      <c r="IG59" s="35"/>
      <c r="IH59" s="35"/>
      <c r="II59" s="35"/>
      <c r="IJ59" s="35"/>
      <c r="IK59" s="35"/>
      <c r="IL59" s="35"/>
      <c r="IM59" s="35"/>
      <c r="IN59" s="35"/>
      <c r="IO59" s="35"/>
      <c r="IP59" s="35"/>
      <c r="IQ59" s="35"/>
      <c r="IR59" s="35"/>
      <c r="IS59" s="35"/>
      <c r="IT59" s="35"/>
    </row>
    <row r="60" spans="1:254" ht="18.75" x14ac:dyDescent="0.3">
      <c r="A60" s="51" t="s">
        <v>330</v>
      </c>
      <c r="B60" s="52">
        <v>11</v>
      </c>
      <c r="C60" s="42" t="s">
        <v>116</v>
      </c>
      <c r="D60" s="42" t="s">
        <v>49</v>
      </c>
      <c r="E60" s="42" t="s">
        <v>50</v>
      </c>
      <c r="F60" s="43">
        <f>'В-25'!G1491</f>
        <v>11901</v>
      </c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  <c r="FN60" s="35"/>
      <c r="FO60" s="35"/>
      <c r="FP60" s="35"/>
      <c r="FQ60" s="35"/>
      <c r="FR60" s="35"/>
      <c r="FS60" s="35"/>
      <c r="FT60" s="35"/>
      <c r="FU60" s="35"/>
      <c r="FV60" s="35"/>
      <c r="FW60" s="35"/>
      <c r="FX60" s="35"/>
      <c r="FY60" s="35"/>
      <c r="FZ60" s="35"/>
      <c r="GA60" s="35"/>
      <c r="GB60" s="35"/>
      <c r="GC60" s="35"/>
      <c r="GD60" s="35"/>
      <c r="GE60" s="35"/>
      <c r="GF60" s="35"/>
      <c r="GG60" s="35"/>
      <c r="GH60" s="35"/>
      <c r="GI60" s="35"/>
      <c r="GJ60" s="35"/>
      <c r="GK60" s="35"/>
      <c r="GL60" s="35"/>
      <c r="GM60" s="35"/>
      <c r="GN60" s="35"/>
      <c r="GO60" s="35"/>
      <c r="GP60" s="35"/>
      <c r="GQ60" s="35"/>
      <c r="GR60" s="35"/>
      <c r="GS60" s="35"/>
      <c r="GT60" s="35"/>
      <c r="GU60" s="35"/>
      <c r="GV60" s="35"/>
      <c r="GW60" s="35"/>
      <c r="GX60" s="35"/>
      <c r="GY60" s="35"/>
      <c r="GZ60" s="35"/>
      <c r="HA60" s="35"/>
      <c r="HB60" s="35"/>
      <c r="HC60" s="35"/>
      <c r="HD60" s="35"/>
      <c r="HE60" s="35"/>
      <c r="HF60" s="35"/>
      <c r="HG60" s="35"/>
      <c r="HH60" s="35"/>
      <c r="HI60" s="35"/>
      <c r="HJ60" s="35"/>
      <c r="HK60" s="35"/>
      <c r="HL60" s="35"/>
      <c r="HM60" s="35"/>
      <c r="HN60" s="35"/>
      <c r="HO60" s="35"/>
      <c r="HP60" s="35"/>
      <c r="HQ60" s="35"/>
      <c r="HR60" s="35"/>
      <c r="HS60" s="35"/>
      <c r="HT60" s="35"/>
      <c r="HU60" s="35"/>
      <c r="HV60" s="35"/>
      <c r="HW60" s="35"/>
      <c r="HX60" s="35"/>
      <c r="HY60" s="35"/>
      <c r="HZ60" s="35"/>
      <c r="IA60" s="35"/>
      <c r="IB60" s="35"/>
      <c r="IC60" s="35"/>
      <c r="ID60" s="35"/>
      <c r="IE60" s="35"/>
      <c r="IF60" s="35"/>
      <c r="IG60" s="35"/>
      <c r="IH60" s="35"/>
      <c r="II60" s="35"/>
      <c r="IJ60" s="35"/>
      <c r="IK60" s="35"/>
      <c r="IL60" s="35"/>
      <c r="IM60" s="35"/>
      <c r="IN60" s="35"/>
      <c r="IO60" s="35"/>
      <c r="IP60" s="35"/>
      <c r="IQ60" s="35"/>
      <c r="IR60" s="35"/>
      <c r="IS60" s="35"/>
      <c r="IT60" s="35"/>
    </row>
    <row r="61" spans="1:254" ht="18.75" x14ac:dyDescent="0.3">
      <c r="A61" s="51" t="s">
        <v>334</v>
      </c>
      <c r="B61" s="52">
        <v>11</v>
      </c>
      <c r="C61" s="42" t="s">
        <v>117</v>
      </c>
      <c r="D61" s="42" t="s">
        <v>49</v>
      </c>
      <c r="E61" s="42" t="s">
        <v>50</v>
      </c>
      <c r="F61" s="43">
        <f>'В-25'!G1517</f>
        <v>60811.318999999989</v>
      </c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  <c r="FN61" s="35"/>
      <c r="FO61" s="35"/>
      <c r="FP61" s="35"/>
      <c r="FQ61" s="35"/>
      <c r="FR61" s="35"/>
      <c r="FS61" s="35"/>
      <c r="FT61" s="35"/>
      <c r="FU61" s="35"/>
      <c r="FV61" s="35"/>
      <c r="FW61" s="35"/>
      <c r="FX61" s="35"/>
      <c r="FY61" s="35"/>
      <c r="FZ61" s="35"/>
      <c r="GA61" s="35"/>
      <c r="GB61" s="35"/>
      <c r="GC61" s="35"/>
      <c r="GD61" s="35"/>
      <c r="GE61" s="35"/>
      <c r="GF61" s="35"/>
      <c r="GG61" s="35"/>
      <c r="GH61" s="35"/>
      <c r="GI61" s="35"/>
      <c r="GJ61" s="35"/>
      <c r="GK61" s="35"/>
      <c r="GL61" s="35"/>
      <c r="GM61" s="35"/>
      <c r="GN61" s="35"/>
      <c r="GO61" s="35"/>
      <c r="GP61" s="35"/>
      <c r="GQ61" s="35"/>
      <c r="GR61" s="35"/>
      <c r="GS61" s="35"/>
      <c r="GT61" s="35"/>
      <c r="GU61" s="35"/>
      <c r="GV61" s="35"/>
      <c r="GW61" s="35"/>
      <c r="GX61" s="35"/>
      <c r="GY61" s="35"/>
      <c r="GZ61" s="35"/>
      <c r="HA61" s="35"/>
      <c r="HB61" s="35"/>
      <c r="HC61" s="35"/>
      <c r="HD61" s="35"/>
      <c r="HE61" s="35"/>
      <c r="HF61" s="35"/>
      <c r="HG61" s="35"/>
      <c r="HH61" s="35"/>
      <c r="HI61" s="35"/>
      <c r="HJ61" s="35"/>
      <c r="HK61" s="35"/>
      <c r="HL61" s="35"/>
      <c r="HM61" s="35"/>
      <c r="HN61" s="35"/>
      <c r="HO61" s="35"/>
      <c r="HP61" s="35"/>
      <c r="HQ61" s="35"/>
      <c r="HR61" s="35"/>
      <c r="HS61" s="35"/>
      <c r="HT61" s="35"/>
      <c r="HU61" s="35"/>
      <c r="HV61" s="35"/>
      <c r="HW61" s="35"/>
      <c r="HX61" s="35"/>
      <c r="HY61" s="35"/>
      <c r="HZ61" s="35"/>
      <c r="IA61" s="35"/>
      <c r="IB61" s="35"/>
      <c r="IC61" s="35"/>
      <c r="ID61" s="35"/>
      <c r="IE61" s="35"/>
      <c r="IF61" s="35"/>
      <c r="IG61" s="35"/>
      <c r="IH61" s="35"/>
      <c r="II61" s="35"/>
      <c r="IJ61" s="35"/>
      <c r="IK61" s="35"/>
      <c r="IL61" s="35"/>
      <c r="IM61" s="35"/>
      <c r="IN61" s="35"/>
      <c r="IO61" s="35"/>
      <c r="IP61" s="35"/>
      <c r="IQ61" s="35"/>
      <c r="IR61" s="35"/>
      <c r="IS61" s="35"/>
      <c r="IT61" s="35"/>
    </row>
    <row r="62" spans="1:254" ht="37.5" x14ac:dyDescent="0.3">
      <c r="A62" s="46" t="s">
        <v>186</v>
      </c>
      <c r="B62" s="42">
        <v>13</v>
      </c>
      <c r="C62" s="42" t="s">
        <v>112</v>
      </c>
      <c r="D62" s="42" t="s">
        <v>49</v>
      </c>
      <c r="E62" s="42" t="s">
        <v>50</v>
      </c>
      <c r="F62" s="43">
        <f>F63</f>
        <v>11467.9</v>
      </c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/>
      <c r="DP62" s="35"/>
      <c r="DQ62" s="35"/>
      <c r="DR62" s="35"/>
      <c r="DS62" s="35"/>
      <c r="DT62" s="35"/>
      <c r="DU62" s="35"/>
      <c r="DV62" s="35"/>
      <c r="DW62" s="35"/>
      <c r="DX62" s="35"/>
      <c r="DY62" s="35"/>
      <c r="DZ62" s="35"/>
      <c r="EA62" s="35"/>
      <c r="EB62" s="35"/>
      <c r="EC62" s="35"/>
      <c r="ED62" s="35"/>
      <c r="EE62" s="35"/>
      <c r="EF62" s="35"/>
      <c r="EG62" s="35"/>
      <c r="EH62" s="35"/>
      <c r="EI62" s="35"/>
      <c r="EJ62" s="35"/>
      <c r="EK62" s="35"/>
      <c r="EL62" s="35"/>
      <c r="EM62" s="35"/>
      <c r="EN62" s="35"/>
      <c r="EO62" s="35"/>
      <c r="EP62" s="35"/>
      <c r="EQ62" s="35"/>
      <c r="ER62" s="35"/>
      <c r="ES62" s="35"/>
      <c r="ET62" s="35"/>
      <c r="EU62" s="35"/>
      <c r="EV62" s="35"/>
      <c r="EW62" s="35"/>
      <c r="EX62" s="35"/>
      <c r="EY62" s="35"/>
      <c r="EZ62" s="35"/>
      <c r="FA62" s="35"/>
      <c r="FB62" s="35"/>
      <c r="FC62" s="35"/>
      <c r="FD62" s="35"/>
      <c r="FE62" s="35"/>
      <c r="FF62" s="35"/>
      <c r="FG62" s="35"/>
      <c r="FH62" s="35"/>
      <c r="FI62" s="35"/>
      <c r="FJ62" s="35"/>
      <c r="FK62" s="35"/>
      <c r="FL62" s="35"/>
      <c r="FM62" s="35"/>
      <c r="FN62" s="35"/>
      <c r="FO62" s="35"/>
      <c r="FP62" s="35"/>
      <c r="FQ62" s="35"/>
      <c r="FR62" s="35"/>
      <c r="FS62" s="35"/>
      <c r="FT62" s="35"/>
      <c r="FU62" s="35"/>
      <c r="FV62" s="35"/>
      <c r="FW62" s="35"/>
      <c r="FX62" s="35"/>
      <c r="FY62" s="35"/>
      <c r="FZ62" s="35"/>
      <c r="GA62" s="35"/>
      <c r="GB62" s="35"/>
      <c r="GC62" s="35"/>
      <c r="GD62" s="35"/>
      <c r="GE62" s="35"/>
      <c r="GF62" s="35"/>
      <c r="GG62" s="35"/>
      <c r="GH62" s="35"/>
      <c r="GI62" s="35"/>
      <c r="GJ62" s="35"/>
      <c r="GK62" s="35"/>
      <c r="GL62" s="35"/>
      <c r="GM62" s="35"/>
      <c r="GN62" s="35"/>
      <c r="GO62" s="35"/>
      <c r="GP62" s="35"/>
      <c r="GQ62" s="35"/>
      <c r="GR62" s="35"/>
      <c r="GS62" s="35"/>
      <c r="GT62" s="35"/>
      <c r="GU62" s="35"/>
      <c r="GV62" s="35"/>
      <c r="GW62" s="35"/>
      <c r="GX62" s="35"/>
      <c r="GY62" s="35"/>
      <c r="GZ62" s="35"/>
      <c r="HA62" s="35"/>
      <c r="HB62" s="35"/>
      <c r="HC62" s="35"/>
      <c r="HD62" s="35"/>
      <c r="HE62" s="35"/>
      <c r="HF62" s="35"/>
      <c r="HG62" s="35"/>
      <c r="HH62" s="35"/>
      <c r="HI62" s="35"/>
      <c r="HJ62" s="35"/>
      <c r="HK62" s="35"/>
      <c r="HL62" s="35"/>
      <c r="HM62" s="35"/>
      <c r="HN62" s="35"/>
      <c r="HO62" s="35"/>
      <c r="HP62" s="35"/>
      <c r="HQ62" s="35"/>
      <c r="HR62" s="35"/>
      <c r="HS62" s="35"/>
      <c r="HT62" s="35"/>
      <c r="HU62" s="35"/>
      <c r="HV62" s="35"/>
      <c r="HW62" s="35"/>
      <c r="HX62" s="35"/>
      <c r="HY62" s="35"/>
      <c r="HZ62" s="35"/>
      <c r="IA62" s="35"/>
      <c r="IB62" s="35"/>
      <c r="IC62" s="35"/>
      <c r="ID62" s="35"/>
      <c r="IE62" s="35"/>
      <c r="IF62" s="35"/>
      <c r="IG62" s="35"/>
      <c r="IH62" s="35"/>
      <c r="II62" s="35"/>
      <c r="IJ62" s="35"/>
      <c r="IK62" s="35"/>
      <c r="IL62" s="35"/>
      <c r="IM62" s="35"/>
      <c r="IN62" s="35"/>
      <c r="IO62" s="35"/>
      <c r="IP62" s="35"/>
      <c r="IQ62" s="35"/>
      <c r="IR62" s="35"/>
      <c r="IS62" s="35"/>
      <c r="IT62" s="35"/>
    </row>
    <row r="63" spans="1:254" s="50" customFormat="1" ht="37.5" x14ac:dyDescent="0.3">
      <c r="A63" s="46" t="s">
        <v>187</v>
      </c>
      <c r="B63" s="52">
        <v>13</v>
      </c>
      <c r="C63" s="42" t="s">
        <v>115</v>
      </c>
      <c r="D63" s="52" t="s">
        <v>49</v>
      </c>
      <c r="E63" s="42" t="s">
        <v>50</v>
      </c>
      <c r="F63" s="44">
        <f>'В-25'!G427+'В-25'!G1556</f>
        <v>11467.9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176"/>
  <sheetViews>
    <sheetView zoomScale="70" zoomScaleNormal="70" workbookViewId="0">
      <selection activeCell="N12" sqref="N12"/>
    </sheetView>
  </sheetViews>
  <sheetFormatPr defaultRowHeight="12.75" outlineLevelRow="2" x14ac:dyDescent="0.2"/>
  <cols>
    <col min="1" max="1" width="78.28515625" style="186" customWidth="1"/>
    <col min="2" max="2" width="17.140625" customWidth="1"/>
    <col min="3" max="3" width="10.42578125" customWidth="1"/>
    <col min="4" max="4" width="23.85546875" style="194" customWidth="1"/>
    <col min="5" max="5" width="16.85546875" hidden="1" customWidth="1"/>
    <col min="6" max="6" width="16.28515625" hidden="1" customWidth="1"/>
    <col min="7" max="7" width="13" customWidth="1"/>
  </cols>
  <sheetData>
    <row r="1" spans="1:5" ht="18.75" x14ac:dyDescent="0.3">
      <c r="A1" s="274" t="s">
        <v>678</v>
      </c>
      <c r="B1" s="274"/>
      <c r="C1" s="274"/>
      <c r="D1" s="274"/>
    </row>
    <row r="2" spans="1:5" ht="18.75" x14ac:dyDescent="0.3">
      <c r="A2" s="275" t="s">
        <v>133</v>
      </c>
      <c r="B2" s="275"/>
      <c r="C2" s="275"/>
      <c r="D2" s="275"/>
    </row>
    <row r="3" spans="1:5" ht="18.75" x14ac:dyDescent="0.3">
      <c r="A3" s="275" t="s">
        <v>134</v>
      </c>
      <c r="B3" s="275"/>
      <c r="C3" s="275"/>
      <c r="D3" s="275"/>
    </row>
    <row r="4" spans="1:5" ht="18.75" x14ac:dyDescent="0.3">
      <c r="A4" s="275" t="s">
        <v>1177</v>
      </c>
      <c r="B4" s="275"/>
      <c r="C4" s="275"/>
      <c r="D4" s="275"/>
    </row>
    <row r="6" spans="1:5" x14ac:dyDescent="0.2">
      <c r="A6" s="276" t="s">
        <v>45</v>
      </c>
      <c r="B6" s="276"/>
      <c r="C6" s="276"/>
      <c r="D6" s="276"/>
    </row>
    <row r="7" spans="1:5" x14ac:dyDescent="0.2">
      <c r="A7" s="277"/>
      <c r="B7" s="277"/>
      <c r="C7" s="277"/>
      <c r="D7" s="277"/>
    </row>
    <row r="8" spans="1:5" ht="30" customHeight="1" x14ac:dyDescent="0.2">
      <c r="A8" s="277"/>
      <c r="B8" s="277"/>
      <c r="C8" s="277"/>
      <c r="D8" s="277"/>
    </row>
    <row r="12" spans="1:5" ht="63.75" customHeight="1" x14ac:dyDescent="0.2">
      <c r="A12" s="285" t="s">
        <v>46</v>
      </c>
      <c r="B12" s="286" t="s">
        <v>47</v>
      </c>
      <c r="C12" s="286" t="s">
        <v>137</v>
      </c>
      <c r="D12" s="287" t="s">
        <v>956</v>
      </c>
    </row>
    <row r="13" spans="1:5" ht="24" customHeight="1" x14ac:dyDescent="0.3">
      <c r="A13" s="155" t="s">
        <v>48</v>
      </c>
      <c r="B13" s="63" t="s">
        <v>49</v>
      </c>
      <c r="C13" s="63" t="s">
        <v>50</v>
      </c>
      <c r="D13" s="266">
        <f>D15+D237+D340+D369+D453+D502+D805+D827+D841+D916+D970+D950+D966-0.011</f>
        <v>1891985.973</v>
      </c>
      <c r="E13" s="77"/>
    </row>
    <row r="14" spans="1:5" ht="15" customHeight="1" x14ac:dyDescent="0.3">
      <c r="A14" s="154"/>
      <c r="B14" s="22"/>
      <c r="C14" s="2"/>
      <c r="D14" s="188"/>
      <c r="E14" s="77"/>
    </row>
    <row r="15" spans="1:5" ht="37.5" x14ac:dyDescent="0.3">
      <c r="A15" s="150" t="s">
        <v>38</v>
      </c>
      <c r="B15" s="19" t="s">
        <v>400</v>
      </c>
      <c r="C15" s="19" t="s">
        <v>50</v>
      </c>
      <c r="D15" s="189">
        <f>D16+D152+D164+D191+D221</f>
        <v>729277.31999999983</v>
      </c>
      <c r="E15" s="77"/>
    </row>
    <row r="16" spans="1:5" ht="39" x14ac:dyDescent="0.35">
      <c r="A16" s="156" t="s">
        <v>138</v>
      </c>
      <c r="B16" s="59" t="s">
        <v>51</v>
      </c>
      <c r="C16" s="59" t="s">
        <v>50</v>
      </c>
      <c r="D16" s="190">
        <f>D17+D68+D113+D106+D110+D140+D143+D90+D99+D104+D92+D148+D146+D137</f>
        <v>717304.82301999989</v>
      </c>
      <c r="E16" s="77"/>
    </row>
    <row r="17" spans="1:5" ht="36.75" customHeight="1" x14ac:dyDescent="0.3">
      <c r="A17" s="138" t="s">
        <v>52</v>
      </c>
      <c r="B17" s="13" t="s">
        <v>53</v>
      </c>
      <c r="C17" s="13" t="s">
        <v>50</v>
      </c>
      <c r="D17" s="68">
        <f>D18+D28+D47+D57+D23+D33+D26+D37+D63+D51+D61+D39+D43+D55+D41+D45</f>
        <v>278236.85301999998</v>
      </c>
      <c r="E17" s="77"/>
    </row>
    <row r="18" spans="1:5" ht="18.75" x14ac:dyDescent="0.3">
      <c r="A18" s="138" t="s">
        <v>54</v>
      </c>
      <c r="B18" s="13" t="s">
        <v>55</v>
      </c>
      <c r="C18" s="13" t="s">
        <v>50</v>
      </c>
      <c r="D18" s="68">
        <f>D19+D20+D22+D21</f>
        <v>89213.939579999991</v>
      </c>
      <c r="E18" s="77"/>
    </row>
    <row r="19" spans="1:5" ht="75" x14ac:dyDescent="0.3">
      <c r="A19" s="138" t="s">
        <v>56</v>
      </c>
      <c r="B19" s="13" t="s">
        <v>55</v>
      </c>
      <c r="C19" s="13" t="s">
        <v>57</v>
      </c>
      <c r="D19" s="68">
        <f>'В-25'!G44+'В-25'!G344</f>
        <v>41472.905300000006</v>
      </c>
      <c r="E19" s="77"/>
    </row>
    <row r="20" spans="1:5" ht="37.5" x14ac:dyDescent="0.3">
      <c r="A20" s="138" t="s">
        <v>425</v>
      </c>
      <c r="B20" s="13" t="s">
        <v>55</v>
      </c>
      <c r="C20" s="13" t="s">
        <v>59</v>
      </c>
      <c r="D20" s="68">
        <f>'В-25'!G45</f>
        <v>47730.039579999997</v>
      </c>
      <c r="E20" s="77"/>
    </row>
    <row r="21" spans="1:5" ht="18.75" hidden="1" x14ac:dyDescent="0.3">
      <c r="A21" s="138" t="s">
        <v>175</v>
      </c>
      <c r="B21" s="13" t="s">
        <v>55</v>
      </c>
      <c r="C21" s="13" t="s">
        <v>176</v>
      </c>
      <c r="D21" s="68">
        <f>'В-25'!G46</f>
        <v>4.9946999999999999</v>
      </c>
      <c r="E21" s="77"/>
    </row>
    <row r="22" spans="1:5" ht="18.75" hidden="1" x14ac:dyDescent="0.3">
      <c r="A22" s="138" t="s">
        <v>60</v>
      </c>
      <c r="B22" s="13" t="s">
        <v>55</v>
      </c>
      <c r="C22" s="13" t="s">
        <v>61</v>
      </c>
      <c r="D22" s="68">
        <f>'В-25'!G47</f>
        <v>6</v>
      </c>
      <c r="E22" s="77"/>
    </row>
    <row r="23" spans="1:5" ht="26.25" customHeight="1" x14ac:dyDescent="0.3">
      <c r="A23" s="157" t="s">
        <v>374</v>
      </c>
      <c r="B23" s="12" t="s">
        <v>372</v>
      </c>
      <c r="C23" s="13" t="s">
        <v>50</v>
      </c>
      <c r="D23" s="68">
        <f>D25+D24</f>
        <v>90976.650999999983</v>
      </c>
      <c r="E23" s="77"/>
    </row>
    <row r="24" spans="1:5" ht="75" x14ac:dyDescent="0.3">
      <c r="A24" s="138" t="s">
        <v>56</v>
      </c>
      <c r="B24" s="12" t="s">
        <v>372</v>
      </c>
      <c r="C24" s="13" t="s">
        <v>57</v>
      </c>
      <c r="D24" s="68">
        <f>'В-25'!G49</f>
        <v>88683.299999999988</v>
      </c>
      <c r="E24" s="77"/>
    </row>
    <row r="25" spans="1:5" ht="18.75" x14ac:dyDescent="0.3">
      <c r="A25" s="138" t="s">
        <v>60</v>
      </c>
      <c r="B25" s="12" t="s">
        <v>372</v>
      </c>
      <c r="C25" s="12" t="s">
        <v>61</v>
      </c>
      <c r="D25" s="68">
        <f>'В-25'!G50</f>
        <v>2293.3510000000001</v>
      </c>
      <c r="E25" s="77"/>
    </row>
    <row r="26" spans="1:5" ht="37.5" x14ac:dyDescent="0.3">
      <c r="A26" s="157" t="s">
        <v>378</v>
      </c>
      <c r="B26" s="12" t="s">
        <v>379</v>
      </c>
      <c r="C26" s="12" t="s">
        <v>50</v>
      </c>
      <c r="D26" s="68">
        <f>D27</f>
        <v>990.1</v>
      </c>
      <c r="E26" s="77"/>
    </row>
    <row r="27" spans="1:5" ht="75" x14ac:dyDescent="0.3">
      <c r="A27" s="138" t="s">
        <v>56</v>
      </c>
      <c r="B27" s="12" t="s">
        <v>379</v>
      </c>
      <c r="C27" s="13" t="s">
        <v>57</v>
      </c>
      <c r="D27" s="68">
        <f>'В-25'!G52</f>
        <v>990.1</v>
      </c>
      <c r="E27" s="77"/>
    </row>
    <row r="28" spans="1:5" ht="23.25" customHeight="1" x14ac:dyDescent="0.3">
      <c r="A28" s="138" t="s">
        <v>73</v>
      </c>
      <c r="B28" s="12" t="s">
        <v>39</v>
      </c>
      <c r="C28" s="12" t="s">
        <v>50</v>
      </c>
      <c r="D28" s="68">
        <f>D29+D30+D32+D31</f>
        <v>32590.804440000004</v>
      </c>
      <c r="E28" s="77"/>
    </row>
    <row r="29" spans="1:5" ht="75" x14ac:dyDescent="0.3">
      <c r="A29" s="138" t="s">
        <v>56</v>
      </c>
      <c r="B29" s="12" t="s">
        <v>39</v>
      </c>
      <c r="C29" s="12" t="s">
        <v>57</v>
      </c>
      <c r="D29" s="68">
        <f>'В-25'!G88</f>
        <v>464.9</v>
      </c>
      <c r="E29" s="77"/>
    </row>
    <row r="30" spans="1:5" ht="37.5" x14ac:dyDescent="0.3">
      <c r="A30" s="138" t="s">
        <v>425</v>
      </c>
      <c r="B30" s="12" t="s">
        <v>39</v>
      </c>
      <c r="C30" s="12" t="s">
        <v>59</v>
      </c>
      <c r="D30" s="68">
        <f>'В-25'!G89</f>
        <v>24587.218440000004</v>
      </c>
      <c r="E30" s="77"/>
    </row>
    <row r="31" spans="1:5" ht="37.5" x14ac:dyDescent="0.3">
      <c r="A31" s="138" t="s">
        <v>264</v>
      </c>
      <c r="B31" s="12" t="s">
        <v>39</v>
      </c>
      <c r="C31" s="12" t="s">
        <v>261</v>
      </c>
      <c r="D31" s="68">
        <f>'В-25'!G90</f>
        <v>7039.7999999999993</v>
      </c>
      <c r="E31" s="77"/>
    </row>
    <row r="32" spans="1:5" ht="18.75" x14ac:dyDescent="0.3">
      <c r="A32" s="138" t="s">
        <v>60</v>
      </c>
      <c r="B32" s="12" t="s">
        <v>39</v>
      </c>
      <c r="C32" s="12" t="s">
        <v>61</v>
      </c>
      <c r="D32" s="68">
        <f>'В-25'!G91</f>
        <v>498.88599999999997</v>
      </c>
      <c r="E32" s="77"/>
    </row>
    <row r="33" spans="1:6" ht="38.25" customHeight="1" x14ac:dyDescent="0.3">
      <c r="A33" s="157" t="s">
        <v>374</v>
      </c>
      <c r="B33" s="12" t="s">
        <v>376</v>
      </c>
      <c r="C33" s="13" t="s">
        <v>50</v>
      </c>
      <c r="D33" s="68">
        <f>D35+D36+D34</f>
        <v>304.5</v>
      </c>
      <c r="E33" s="77"/>
    </row>
    <row r="34" spans="1:6" ht="79.5" hidden="1" customHeight="1" x14ac:dyDescent="0.3">
      <c r="A34" s="138" t="s">
        <v>56</v>
      </c>
      <c r="B34" s="12" t="s">
        <v>376</v>
      </c>
      <c r="C34" s="13" t="s">
        <v>57</v>
      </c>
      <c r="D34" s="68">
        <f>'В-25'!G97</f>
        <v>0</v>
      </c>
      <c r="E34" s="77"/>
    </row>
    <row r="35" spans="1:6" ht="37.5" x14ac:dyDescent="0.3">
      <c r="A35" s="138" t="s">
        <v>264</v>
      </c>
      <c r="B35" s="12" t="s">
        <v>376</v>
      </c>
      <c r="C35" s="12" t="s">
        <v>261</v>
      </c>
      <c r="D35" s="68">
        <f>'В-25'!G98</f>
        <v>304.5</v>
      </c>
      <c r="E35" s="77"/>
    </row>
    <row r="36" spans="1:6" ht="18.75" hidden="1" x14ac:dyDescent="0.3">
      <c r="A36" s="138" t="s">
        <v>60</v>
      </c>
      <c r="B36" s="12" t="s">
        <v>376</v>
      </c>
      <c r="C36" s="12" t="s">
        <v>61</v>
      </c>
      <c r="D36" s="68">
        <f>'В-25'!G99</f>
        <v>0</v>
      </c>
      <c r="E36" s="77"/>
    </row>
    <row r="37" spans="1:6" ht="37.5" hidden="1" x14ac:dyDescent="0.3">
      <c r="A37" s="157" t="s">
        <v>378</v>
      </c>
      <c r="B37" s="86" t="s">
        <v>492</v>
      </c>
      <c r="C37" s="86" t="s">
        <v>50</v>
      </c>
      <c r="D37" s="68">
        <f>D38</f>
        <v>0</v>
      </c>
      <c r="E37" s="77"/>
    </row>
    <row r="38" spans="1:6" ht="18.75" hidden="1" x14ac:dyDescent="0.3">
      <c r="A38" s="138" t="s">
        <v>60</v>
      </c>
      <c r="B38" s="86" t="s">
        <v>492</v>
      </c>
      <c r="C38" s="86" t="s">
        <v>61</v>
      </c>
      <c r="D38" s="68">
        <v>0</v>
      </c>
      <c r="E38" s="77"/>
    </row>
    <row r="39" spans="1:6" ht="18.75" x14ac:dyDescent="0.3">
      <c r="A39" s="138" t="s">
        <v>558</v>
      </c>
      <c r="B39" s="12" t="s">
        <v>560</v>
      </c>
      <c r="C39" s="12" t="s">
        <v>50</v>
      </c>
      <c r="D39" s="68">
        <f>D40</f>
        <v>6980.7000000000007</v>
      </c>
      <c r="E39" s="77"/>
      <c r="F39" s="84">
        <f>D39+D43+D47</f>
        <v>30114.782000000003</v>
      </c>
    </row>
    <row r="40" spans="1:6" ht="37.5" x14ac:dyDescent="0.3">
      <c r="A40" s="138" t="s">
        <v>264</v>
      </c>
      <c r="B40" s="12" t="s">
        <v>560</v>
      </c>
      <c r="C40" s="12" t="s">
        <v>261</v>
      </c>
      <c r="D40" s="68">
        <f>'В-25'!G1184</f>
        <v>6980.7000000000007</v>
      </c>
      <c r="E40" s="77"/>
      <c r="F40" s="84">
        <f>D41+D45+D51</f>
        <v>2166.3999999999996</v>
      </c>
    </row>
    <row r="41" spans="1:6" ht="37.5" x14ac:dyDescent="0.3">
      <c r="A41" s="157" t="s">
        <v>374</v>
      </c>
      <c r="B41" s="12" t="s">
        <v>713</v>
      </c>
      <c r="C41" s="12" t="s">
        <v>50</v>
      </c>
      <c r="D41" s="68">
        <f>D42</f>
        <v>502.3</v>
      </c>
      <c r="E41" s="77"/>
    </row>
    <row r="42" spans="1:6" ht="37.5" x14ac:dyDescent="0.3">
      <c r="A42" s="138" t="s">
        <v>264</v>
      </c>
      <c r="B42" s="12" t="s">
        <v>713</v>
      </c>
      <c r="C42" s="12" t="s">
        <v>261</v>
      </c>
      <c r="D42" s="68">
        <f>'В-25'!G1186</f>
        <v>502.3</v>
      </c>
      <c r="E42" s="77"/>
    </row>
    <row r="43" spans="1:6" ht="18.75" x14ac:dyDescent="0.3">
      <c r="A43" s="138" t="s">
        <v>559</v>
      </c>
      <c r="B43" s="12" t="s">
        <v>561</v>
      </c>
      <c r="C43" s="12" t="s">
        <v>50</v>
      </c>
      <c r="D43" s="68">
        <f>D44</f>
        <v>14476.900000000001</v>
      </c>
      <c r="E43" s="77"/>
    </row>
    <row r="44" spans="1:6" ht="37.5" x14ac:dyDescent="0.3">
      <c r="A44" s="138" t="s">
        <v>264</v>
      </c>
      <c r="B44" s="12" t="s">
        <v>561</v>
      </c>
      <c r="C44" s="12" t="s">
        <v>261</v>
      </c>
      <c r="D44" s="68">
        <f>'В-25'!G1188+'В-25'!G1438</f>
        <v>14476.900000000001</v>
      </c>
      <c r="E44" s="77"/>
    </row>
    <row r="45" spans="1:6" ht="37.5" x14ac:dyDescent="0.3">
      <c r="A45" s="157" t="s">
        <v>374</v>
      </c>
      <c r="B45" s="12" t="s">
        <v>562</v>
      </c>
      <c r="C45" s="12" t="s">
        <v>50</v>
      </c>
      <c r="D45" s="68">
        <f>D46</f>
        <v>1302.5999999999999</v>
      </c>
      <c r="E45" s="77"/>
    </row>
    <row r="46" spans="1:6" ht="37.5" x14ac:dyDescent="0.3">
      <c r="A46" s="138" t="s">
        <v>264</v>
      </c>
      <c r="B46" s="12" t="s">
        <v>562</v>
      </c>
      <c r="C46" s="12" t="s">
        <v>261</v>
      </c>
      <c r="D46" s="68">
        <f>'В-25'!G1190</f>
        <v>1302.5999999999999</v>
      </c>
      <c r="E46" s="77"/>
    </row>
    <row r="47" spans="1:6" ht="18.75" x14ac:dyDescent="0.3">
      <c r="A47" s="138" t="s">
        <v>544</v>
      </c>
      <c r="B47" s="13" t="s">
        <v>578</v>
      </c>
      <c r="C47" s="12" t="s">
        <v>50</v>
      </c>
      <c r="D47" s="68">
        <f>D48+D49+D50</f>
        <v>8657.1820000000007</v>
      </c>
      <c r="E47" s="77"/>
    </row>
    <row r="48" spans="1:6" ht="75" x14ac:dyDescent="0.3">
      <c r="A48" s="138" t="s">
        <v>56</v>
      </c>
      <c r="B48" s="13" t="s">
        <v>578</v>
      </c>
      <c r="C48" s="13" t="s">
        <v>57</v>
      </c>
      <c r="D48" s="68">
        <f>'В-25'!G188</f>
        <v>7442.6</v>
      </c>
      <c r="E48" s="77"/>
    </row>
    <row r="49" spans="1:5" ht="37.5" x14ac:dyDescent="0.3">
      <c r="A49" s="138" t="s">
        <v>425</v>
      </c>
      <c r="B49" s="13" t="s">
        <v>578</v>
      </c>
      <c r="C49" s="13" t="s">
        <v>59</v>
      </c>
      <c r="D49" s="68">
        <f>'В-25'!G189</f>
        <v>1144</v>
      </c>
      <c r="E49" s="77"/>
    </row>
    <row r="50" spans="1:5" ht="18.75" x14ac:dyDescent="0.3">
      <c r="A50" s="138" t="s">
        <v>60</v>
      </c>
      <c r="B50" s="13" t="s">
        <v>578</v>
      </c>
      <c r="C50" s="13" t="s">
        <v>61</v>
      </c>
      <c r="D50" s="68">
        <f>'В-25'!G190</f>
        <v>70.581999999999994</v>
      </c>
      <c r="E50" s="77"/>
    </row>
    <row r="51" spans="1:5" ht="41.25" customHeight="1" x14ac:dyDescent="0.3">
      <c r="A51" s="157" t="s">
        <v>374</v>
      </c>
      <c r="B51" s="13" t="s">
        <v>621</v>
      </c>
      <c r="C51" s="13" t="s">
        <v>50</v>
      </c>
      <c r="D51" s="68">
        <f>D53+D54</f>
        <v>361.5</v>
      </c>
      <c r="E51" s="77"/>
    </row>
    <row r="52" spans="1:5" ht="75" x14ac:dyDescent="0.3">
      <c r="A52" s="138" t="s">
        <v>56</v>
      </c>
      <c r="B52" s="13" t="s">
        <v>506</v>
      </c>
      <c r="C52" s="13" t="s">
        <v>57</v>
      </c>
      <c r="D52" s="68">
        <f>'[2]В-21'!G109</f>
        <v>0</v>
      </c>
      <c r="E52" s="77"/>
    </row>
    <row r="53" spans="1:5" ht="75" x14ac:dyDescent="0.3">
      <c r="A53" s="138" t="s">
        <v>56</v>
      </c>
      <c r="B53" s="13" t="s">
        <v>621</v>
      </c>
      <c r="C53" s="13" t="s">
        <v>57</v>
      </c>
      <c r="D53" s="68">
        <f>'В-25'!G192</f>
        <v>361.5</v>
      </c>
      <c r="E53" s="77"/>
    </row>
    <row r="54" spans="1:5" ht="18.75" hidden="1" x14ac:dyDescent="0.3">
      <c r="A54" s="138" t="s">
        <v>60</v>
      </c>
      <c r="B54" s="13" t="s">
        <v>621</v>
      </c>
      <c r="C54" s="13" t="s">
        <v>61</v>
      </c>
      <c r="D54" s="68">
        <f>'В-25'!G193</f>
        <v>0</v>
      </c>
      <c r="E54" s="77"/>
    </row>
    <row r="55" spans="1:5" ht="37.5" hidden="1" x14ac:dyDescent="0.3">
      <c r="A55" s="157" t="s">
        <v>378</v>
      </c>
      <c r="B55" s="13" t="s">
        <v>635</v>
      </c>
      <c r="C55" s="13" t="s">
        <v>50</v>
      </c>
      <c r="D55" s="68">
        <f>D56</f>
        <v>0</v>
      </c>
      <c r="E55" s="77"/>
    </row>
    <row r="56" spans="1:5" ht="75" hidden="1" x14ac:dyDescent="0.3">
      <c r="A56" s="138" t="s">
        <v>56</v>
      </c>
      <c r="B56" s="13" t="s">
        <v>635</v>
      </c>
      <c r="C56" s="13" t="s">
        <v>57</v>
      </c>
      <c r="D56" s="68">
        <f>'В-25'!G195</f>
        <v>0</v>
      </c>
      <c r="E56" s="77"/>
    </row>
    <row r="57" spans="1:5" ht="18.75" x14ac:dyDescent="0.3">
      <c r="A57" s="138" t="s">
        <v>82</v>
      </c>
      <c r="B57" s="13" t="s">
        <v>43</v>
      </c>
      <c r="C57" s="13" t="s">
        <v>50</v>
      </c>
      <c r="D57" s="68">
        <f>D58+D59+D60+D65+D66</f>
        <v>13596.776</v>
      </c>
      <c r="E57" s="77"/>
    </row>
    <row r="58" spans="1:5" ht="75" x14ac:dyDescent="0.3">
      <c r="A58" s="138" t="s">
        <v>56</v>
      </c>
      <c r="B58" s="13" t="s">
        <v>43</v>
      </c>
      <c r="C58" s="13" t="s">
        <v>57</v>
      </c>
      <c r="D58" s="68">
        <f>'В-25'!G289+'В-25'!G318+'В-25'!G346</f>
        <v>12695.978650000001</v>
      </c>
      <c r="E58" s="77"/>
    </row>
    <row r="59" spans="1:5" ht="37.5" x14ac:dyDescent="0.3">
      <c r="A59" s="138" t="s">
        <v>425</v>
      </c>
      <c r="B59" s="13" t="s">
        <v>43</v>
      </c>
      <c r="C59" s="13" t="s">
        <v>59</v>
      </c>
      <c r="D59" s="68">
        <f>'В-25'!G290+'В-25'!G319</f>
        <v>898.3</v>
      </c>
      <c r="E59" s="77"/>
    </row>
    <row r="60" spans="1:5" ht="18.75" x14ac:dyDescent="0.3">
      <c r="A60" s="138" t="s">
        <v>175</v>
      </c>
      <c r="B60" s="13" t="s">
        <v>43</v>
      </c>
      <c r="C60" s="13" t="s">
        <v>176</v>
      </c>
      <c r="D60" s="68">
        <f>'В-25'!G291</f>
        <v>2.49735</v>
      </c>
      <c r="E60" s="77"/>
    </row>
    <row r="61" spans="1:5" ht="43.5" customHeight="1" x14ac:dyDescent="0.3">
      <c r="A61" s="157" t="s">
        <v>374</v>
      </c>
      <c r="B61" s="12" t="s">
        <v>508</v>
      </c>
      <c r="C61" s="12" t="s">
        <v>50</v>
      </c>
      <c r="D61" s="68">
        <f>D62</f>
        <v>18282.900000000001</v>
      </c>
      <c r="E61" s="77"/>
    </row>
    <row r="62" spans="1:5" ht="75" x14ac:dyDescent="0.3">
      <c r="A62" s="138" t="s">
        <v>56</v>
      </c>
      <c r="B62" s="12" t="s">
        <v>508</v>
      </c>
      <c r="C62" s="12" t="s">
        <v>57</v>
      </c>
      <c r="D62" s="68">
        <f>'В-25'!G293+'В-25'!G321</f>
        <v>18282.900000000001</v>
      </c>
      <c r="E62" s="77"/>
    </row>
    <row r="63" spans="1:5" ht="37.5" hidden="1" x14ac:dyDescent="0.3">
      <c r="A63" s="157" t="s">
        <v>378</v>
      </c>
      <c r="B63" s="12" t="s">
        <v>505</v>
      </c>
      <c r="C63" s="12" t="s">
        <v>50</v>
      </c>
      <c r="D63" s="68">
        <f>D64</f>
        <v>0</v>
      </c>
      <c r="E63" s="77"/>
    </row>
    <row r="64" spans="1:5" ht="75" hidden="1" x14ac:dyDescent="0.3">
      <c r="A64" s="138" t="s">
        <v>56</v>
      </c>
      <c r="B64" s="12" t="s">
        <v>505</v>
      </c>
      <c r="C64" s="12" t="s">
        <v>57</v>
      </c>
      <c r="D64" s="68">
        <f>'[2]В-21'!G170</f>
        <v>0</v>
      </c>
      <c r="E64" s="77"/>
    </row>
    <row r="65" spans="1:5" ht="18.75" x14ac:dyDescent="0.3">
      <c r="A65" s="138" t="s">
        <v>175</v>
      </c>
      <c r="B65" s="13" t="s">
        <v>43</v>
      </c>
      <c r="C65" s="12" t="s">
        <v>176</v>
      </c>
      <c r="D65" s="68">
        <f>'В-25'!G322</f>
        <v>0</v>
      </c>
      <c r="E65" s="77"/>
    </row>
    <row r="66" spans="1:5" ht="37.5" x14ac:dyDescent="0.3">
      <c r="A66" s="157" t="s">
        <v>374</v>
      </c>
      <c r="B66" s="12" t="s">
        <v>508</v>
      </c>
      <c r="C66" s="12" t="s">
        <v>50</v>
      </c>
      <c r="D66" s="68">
        <f>D67</f>
        <v>0</v>
      </c>
      <c r="E66" s="77"/>
    </row>
    <row r="67" spans="1:5" ht="75" x14ac:dyDescent="0.3">
      <c r="A67" s="138" t="s">
        <v>56</v>
      </c>
      <c r="B67" s="12" t="s">
        <v>508</v>
      </c>
      <c r="C67" s="12" t="s">
        <v>57</v>
      </c>
      <c r="D67" s="68">
        <f>'В-25'!G324</f>
        <v>0</v>
      </c>
      <c r="E67" s="77"/>
    </row>
    <row r="68" spans="1:5" ht="18.75" x14ac:dyDescent="0.3">
      <c r="A68" s="138" t="s">
        <v>62</v>
      </c>
      <c r="B68" s="12" t="s">
        <v>63</v>
      </c>
      <c r="C68" s="12" t="s">
        <v>50</v>
      </c>
      <c r="D68" s="68">
        <f>D69+D72+D75+D78+D81+D84+D86+D88</f>
        <v>45992.17</v>
      </c>
      <c r="E68" s="77"/>
    </row>
    <row r="69" spans="1:5" ht="18.75" x14ac:dyDescent="0.3">
      <c r="A69" s="138" t="s">
        <v>146</v>
      </c>
      <c r="B69" s="13" t="s">
        <v>148</v>
      </c>
      <c r="C69" s="12" t="s">
        <v>50</v>
      </c>
      <c r="D69" s="68">
        <f>D70+D71</f>
        <v>47.745999999999995</v>
      </c>
      <c r="E69" s="77"/>
    </row>
    <row r="70" spans="1:5" ht="37.5" x14ac:dyDescent="0.3">
      <c r="A70" s="138" t="s">
        <v>425</v>
      </c>
      <c r="B70" s="13" t="s">
        <v>148</v>
      </c>
      <c r="C70" s="13" t="s">
        <v>59</v>
      </c>
      <c r="D70" s="68">
        <f>'В-25'!G231</f>
        <v>38.745999999999995</v>
      </c>
      <c r="E70" s="77"/>
    </row>
    <row r="71" spans="1:5" ht="18.75" x14ac:dyDescent="0.3">
      <c r="A71" s="138" t="s">
        <v>175</v>
      </c>
      <c r="B71" s="13" t="s">
        <v>148</v>
      </c>
      <c r="C71" s="13" t="s">
        <v>176</v>
      </c>
      <c r="D71" s="68">
        <f>'В-25'!G232</f>
        <v>9</v>
      </c>
      <c r="E71" s="77"/>
    </row>
    <row r="72" spans="1:5" ht="67.5" customHeight="1" x14ac:dyDescent="0.3">
      <c r="A72" s="138" t="s">
        <v>536</v>
      </c>
      <c r="B72" s="12" t="s">
        <v>149</v>
      </c>
      <c r="C72" s="12" t="s">
        <v>50</v>
      </c>
      <c r="D72" s="68">
        <f>D73+D74</f>
        <v>0</v>
      </c>
      <c r="E72" s="77"/>
    </row>
    <row r="73" spans="1:5" ht="37.5" x14ac:dyDescent="0.3">
      <c r="A73" s="138" t="s">
        <v>425</v>
      </c>
      <c r="B73" s="12" t="s">
        <v>149</v>
      </c>
      <c r="C73" s="12" t="s">
        <v>59</v>
      </c>
      <c r="D73" s="68">
        <f>'В-25'!G114</f>
        <v>0</v>
      </c>
      <c r="E73" s="77"/>
    </row>
    <row r="74" spans="1:5" ht="37.5" x14ac:dyDescent="0.3">
      <c r="A74" s="138" t="s">
        <v>264</v>
      </c>
      <c r="B74" s="12" t="s">
        <v>149</v>
      </c>
      <c r="C74" s="13" t="s">
        <v>261</v>
      </c>
      <c r="D74" s="68">
        <v>0</v>
      </c>
      <c r="E74" s="77"/>
    </row>
    <row r="75" spans="1:5" ht="18.75" x14ac:dyDescent="0.3">
      <c r="A75" s="138" t="s">
        <v>75</v>
      </c>
      <c r="B75" s="12" t="s">
        <v>40</v>
      </c>
      <c r="C75" s="12" t="s">
        <v>50</v>
      </c>
      <c r="D75" s="68">
        <f>D77+D76</f>
        <v>446.524</v>
      </c>
      <c r="E75" s="77"/>
    </row>
    <row r="76" spans="1:5" ht="75" x14ac:dyDescent="0.3">
      <c r="A76" s="138" t="s">
        <v>56</v>
      </c>
      <c r="B76" s="12" t="s">
        <v>40</v>
      </c>
      <c r="C76" s="12" t="s">
        <v>57</v>
      </c>
      <c r="D76" s="68">
        <f>'В-25'!G116</f>
        <v>202.09199999999998</v>
      </c>
      <c r="E76" s="77"/>
    </row>
    <row r="77" spans="1:5" ht="37.5" x14ac:dyDescent="0.3">
      <c r="A77" s="138" t="s">
        <v>425</v>
      </c>
      <c r="B77" s="12" t="s">
        <v>40</v>
      </c>
      <c r="C77" s="12" t="s">
        <v>59</v>
      </c>
      <c r="D77" s="68">
        <f>'В-25'!G117</f>
        <v>244.43200000000002</v>
      </c>
      <c r="E77" s="77"/>
    </row>
    <row r="78" spans="1:5" ht="18.75" outlineLevel="1" x14ac:dyDescent="0.3">
      <c r="A78" s="138" t="s">
        <v>64</v>
      </c>
      <c r="B78" s="12" t="s">
        <v>65</v>
      </c>
      <c r="C78" s="12" t="s">
        <v>50</v>
      </c>
      <c r="D78" s="68">
        <f>D79+D80</f>
        <v>2.4</v>
      </c>
      <c r="E78" s="77"/>
    </row>
    <row r="79" spans="1:5" ht="18.75" outlineLevel="1" x14ac:dyDescent="0.3">
      <c r="A79" s="138" t="s">
        <v>58</v>
      </c>
      <c r="B79" s="12" t="s">
        <v>65</v>
      </c>
      <c r="C79" s="12" t="s">
        <v>59</v>
      </c>
      <c r="D79" s="68">
        <f>'В-25'!G119</f>
        <v>2.4</v>
      </c>
      <c r="E79" s="77"/>
    </row>
    <row r="80" spans="1:5" ht="18.75" hidden="1" outlineLevel="1" x14ac:dyDescent="0.3">
      <c r="A80" s="138" t="s">
        <v>60</v>
      </c>
      <c r="B80" s="12" t="s">
        <v>65</v>
      </c>
      <c r="C80" s="12" t="s">
        <v>61</v>
      </c>
      <c r="D80" s="68">
        <f>'[2]В-21'!G83</f>
        <v>0</v>
      </c>
      <c r="E80" s="77"/>
    </row>
    <row r="81" spans="1:5" ht="18.75" collapsed="1" x14ac:dyDescent="0.3">
      <c r="A81" s="138" t="s">
        <v>66</v>
      </c>
      <c r="B81" s="12" t="s">
        <v>67</v>
      </c>
      <c r="C81" s="12" t="s">
        <v>50</v>
      </c>
      <c r="D81" s="68">
        <f>D82+D83</f>
        <v>45295.5</v>
      </c>
      <c r="E81" s="77"/>
    </row>
    <row r="82" spans="1:5" ht="75" x14ac:dyDescent="0.3">
      <c r="A82" s="138" t="s">
        <v>56</v>
      </c>
      <c r="B82" s="12" t="s">
        <v>67</v>
      </c>
      <c r="C82" s="12" t="s">
        <v>57</v>
      </c>
      <c r="D82" s="68">
        <f>'[2]В-21'!G53+'[2]В-21'!G213</f>
        <v>0</v>
      </c>
      <c r="E82" s="77"/>
    </row>
    <row r="83" spans="1:5" ht="37.5" x14ac:dyDescent="0.3">
      <c r="A83" s="138" t="s">
        <v>425</v>
      </c>
      <c r="B83" s="12" t="s">
        <v>67</v>
      </c>
      <c r="C83" s="12" t="s">
        <v>59</v>
      </c>
      <c r="D83" s="68">
        <f>'В-25'!G60</f>
        <v>45295.5</v>
      </c>
      <c r="E83" s="77"/>
    </row>
    <row r="84" spans="1:5" ht="18.75" hidden="1" x14ac:dyDescent="0.3">
      <c r="A84" s="158" t="s">
        <v>399</v>
      </c>
      <c r="B84" s="42" t="s">
        <v>408</v>
      </c>
      <c r="C84" s="42" t="s">
        <v>50</v>
      </c>
      <c r="D84" s="68">
        <f>D85</f>
        <v>0</v>
      </c>
      <c r="E84" s="77"/>
    </row>
    <row r="85" spans="1:5" ht="37.5" hidden="1" x14ac:dyDescent="0.3">
      <c r="A85" s="138" t="s">
        <v>425</v>
      </c>
      <c r="B85" s="42" t="s">
        <v>408</v>
      </c>
      <c r="C85" s="42" t="s">
        <v>59</v>
      </c>
      <c r="D85" s="68">
        <f>'[2]В-21'!G26</f>
        <v>0</v>
      </c>
      <c r="E85" s="77"/>
    </row>
    <row r="86" spans="1:5" ht="18.75" hidden="1" x14ac:dyDescent="0.3">
      <c r="A86" s="158" t="s">
        <v>399</v>
      </c>
      <c r="B86" s="42" t="s">
        <v>408</v>
      </c>
      <c r="C86" s="12" t="s">
        <v>50</v>
      </c>
      <c r="D86" s="68">
        <f>D87</f>
        <v>0</v>
      </c>
      <c r="E86" s="77"/>
    </row>
    <row r="87" spans="1:5" ht="37.5" hidden="1" x14ac:dyDescent="0.3">
      <c r="A87" s="138" t="s">
        <v>425</v>
      </c>
      <c r="B87" s="42" t="s">
        <v>408</v>
      </c>
      <c r="C87" s="12" t="s">
        <v>59</v>
      </c>
      <c r="D87" s="68">
        <f>'В-25'!G26</f>
        <v>0</v>
      </c>
      <c r="E87" s="77"/>
    </row>
    <row r="88" spans="1:5" ht="37.5" x14ac:dyDescent="0.3">
      <c r="A88" s="138" t="s">
        <v>490</v>
      </c>
      <c r="B88" s="13" t="s">
        <v>491</v>
      </c>
      <c r="C88" s="12" t="s">
        <v>50</v>
      </c>
      <c r="D88" s="68">
        <f>D89</f>
        <v>200</v>
      </c>
      <c r="E88" s="77"/>
    </row>
    <row r="89" spans="1:5" ht="37.5" x14ac:dyDescent="0.3">
      <c r="A89" s="138" t="s">
        <v>264</v>
      </c>
      <c r="B89" s="13" t="s">
        <v>491</v>
      </c>
      <c r="C89" s="13" t="s">
        <v>261</v>
      </c>
      <c r="D89" s="68">
        <f>'В-25'!G201</f>
        <v>200</v>
      </c>
      <c r="E89" s="77"/>
    </row>
    <row r="90" spans="1:5" ht="56.25" hidden="1" x14ac:dyDescent="0.3">
      <c r="A90" s="280" t="s">
        <v>493</v>
      </c>
      <c r="B90" s="12" t="s">
        <v>640</v>
      </c>
      <c r="C90" s="12" t="s">
        <v>50</v>
      </c>
      <c r="D90" s="68">
        <f>D91</f>
        <v>0</v>
      </c>
      <c r="E90" s="77"/>
    </row>
    <row r="91" spans="1:5" ht="18.75" hidden="1" x14ac:dyDescent="0.3">
      <c r="A91" s="138" t="s">
        <v>60</v>
      </c>
      <c r="B91" s="12" t="s">
        <v>640</v>
      </c>
      <c r="C91" s="12" t="s">
        <v>61</v>
      </c>
      <c r="D91" s="68">
        <f>'В-25'!G62</f>
        <v>0</v>
      </c>
      <c r="E91" s="77"/>
    </row>
    <row r="92" spans="1:5" ht="56.25" x14ac:dyDescent="0.3">
      <c r="A92" s="151" t="s">
        <v>249</v>
      </c>
      <c r="B92" s="12" t="s">
        <v>887</v>
      </c>
      <c r="C92" s="12" t="s">
        <v>50</v>
      </c>
      <c r="D92" s="68">
        <f>D93+D96</f>
        <v>9624.1999999999989</v>
      </c>
      <c r="E92" s="77"/>
    </row>
    <row r="93" spans="1:5" ht="75" x14ac:dyDescent="0.3">
      <c r="A93" s="138" t="s">
        <v>643</v>
      </c>
      <c r="B93" s="12" t="s">
        <v>888</v>
      </c>
      <c r="C93" s="12" t="s">
        <v>50</v>
      </c>
      <c r="D93" s="68">
        <f>D95+D94</f>
        <v>9522.4</v>
      </c>
      <c r="E93" s="77"/>
    </row>
    <row r="94" spans="1:5" ht="37.5" x14ac:dyDescent="0.3">
      <c r="A94" s="138" t="s">
        <v>425</v>
      </c>
      <c r="B94" s="12" t="s">
        <v>888</v>
      </c>
      <c r="C94" s="12" t="s">
        <v>59</v>
      </c>
      <c r="D94" s="68">
        <f>'В-25'!G102+'В-25'!G65+'В-25'!G78</f>
        <v>9522.4</v>
      </c>
      <c r="E94" s="77"/>
    </row>
    <row r="95" spans="1:5" ht="37.5" hidden="1" x14ac:dyDescent="0.3">
      <c r="A95" s="138" t="s">
        <v>264</v>
      </c>
      <c r="B95" s="12" t="s">
        <v>644</v>
      </c>
      <c r="C95" s="12" t="s">
        <v>261</v>
      </c>
      <c r="D95" s="68">
        <f>'В-25'!G103</f>
        <v>0</v>
      </c>
      <c r="E95" s="77"/>
    </row>
    <row r="96" spans="1:5" ht="93.75" x14ac:dyDescent="0.3">
      <c r="A96" s="138" t="s">
        <v>417</v>
      </c>
      <c r="B96" s="12" t="s">
        <v>889</v>
      </c>
      <c r="C96" s="12" t="s">
        <v>50</v>
      </c>
      <c r="D96" s="68">
        <f>D98+D97</f>
        <v>101.8</v>
      </c>
      <c r="E96" s="77"/>
    </row>
    <row r="97" spans="1:5" ht="37.5" x14ac:dyDescent="0.3">
      <c r="A97" s="138" t="s">
        <v>425</v>
      </c>
      <c r="B97" s="12" t="s">
        <v>889</v>
      </c>
      <c r="C97" s="12" t="s">
        <v>59</v>
      </c>
      <c r="D97" s="68">
        <f>'В-25'!G105+'В-25'!G67+'В-25'!G80</f>
        <v>101.8</v>
      </c>
      <c r="E97" s="77"/>
    </row>
    <row r="98" spans="1:5" ht="37.5" hidden="1" x14ac:dyDescent="0.3">
      <c r="A98" s="138" t="s">
        <v>264</v>
      </c>
      <c r="B98" s="12" t="s">
        <v>418</v>
      </c>
      <c r="C98" s="12" t="s">
        <v>261</v>
      </c>
      <c r="D98" s="68">
        <f>'В-25'!G106</f>
        <v>0</v>
      </c>
      <c r="E98" s="77"/>
    </row>
    <row r="99" spans="1:5" ht="24" hidden="1" customHeight="1" x14ac:dyDescent="0.3">
      <c r="A99" s="160" t="s">
        <v>633</v>
      </c>
      <c r="B99" s="12" t="s">
        <v>634</v>
      </c>
      <c r="C99" s="12" t="s">
        <v>50</v>
      </c>
      <c r="D99" s="68">
        <f>D100</f>
        <v>0</v>
      </c>
      <c r="E99" s="77"/>
    </row>
    <row r="100" spans="1:5" ht="18.75" hidden="1" x14ac:dyDescent="0.3">
      <c r="A100" s="160" t="s">
        <v>637</v>
      </c>
      <c r="B100" s="12" t="s">
        <v>638</v>
      </c>
      <c r="C100" s="12" t="s">
        <v>50</v>
      </c>
      <c r="D100" s="68">
        <f>D101</f>
        <v>0</v>
      </c>
      <c r="E100" s="77"/>
    </row>
    <row r="101" spans="1:5" ht="56.25" hidden="1" x14ac:dyDescent="0.3">
      <c r="A101" s="151" t="s">
        <v>249</v>
      </c>
      <c r="B101" s="12" t="s">
        <v>639</v>
      </c>
      <c r="C101" s="12" t="s">
        <v>50</v>
      </c>
      <c r="D101" s="68">
        <f>D102</f>
        <v>0</v>
      </c>
      <c r="E101" s="77"/>
    </row>
    <row r="102" spans="1:5" ht="93.75" hidden="1" x14ac:dyDescent="0.3">
      <c r="A102" s="138" t="s">
        <v>622</v>
      </c>
      <c r="B102" s="12" t="s">
        <v>623</v>
      </c>
      <c r="C102" s="12" t="s">
        <v>50</v>
      </c>
      <c r="D102" s="68">
        <f>D103</f>
        <v>0</v>
      </c>
      <c r="E102" s="77"/>
    </row>
    <row r="103" spans="1:5" ht="37.5" hidden="1" x14ac:dyDescent="0.3">
      <c r="A103" s="138" t="s">
        <v>425</v>
      </c>
      <c r="B103" s="12" t="s">
        <v>623</v>
      </c>
      <c r="C103" s="12" t="s">
        <v>59</v>
      </c>
      <c r="D103" s="68">
        <f>'В-25'!G125</f>
        <v>0</v>
      </c>
      <c r="E103" s="77"/>
    </row>
    <row r="104" spans="1:5" ht="93.75" hidden="1" x14ac:dyDescent="0.3">
      <c r="A104" s="138" t="s">
        <v>636</v>
      </c>
      <c r="B104" s="12" t="s">
        <v>641</v>
      </c>
      <c r="C104" s="12" t="s">
        <v>50</v>
      </c>
      <c r="D104" s="68">
        <f>D105</f>
        <v>0</v>
      </c>
      <c r="E104" s="77"/>
    </row>
    <row r="105" spans="1:5" ht="37.5" hidden="1" x14ac:dyDescent="0.3">
      <c r="A105" s="138" t="s">
        <v>425</v>
      </c>
      <c r="B105" s="12" t="s">
        <v>641</v>
      </c>
      <c r="C105" s="12" t="s">
        <v>59</v>
      </c>
      <c r="D105" s="68">
        <f>'В-25'!G127</f>
        <v>0</v>
      </c>
      <c r="E105" s="77"/>
    </row>
    <row r="106" spans="1:5" ht="68.25" customHeight="1" x14ac:dyDescent="0.3">
      <c r="A106" s="151" t="s">
        <v>173</v>
      </c>
      <c r="B106" s="12" t="s">
        <v>807</v>
      </c>
      <c r="C106" s="12" t="s">
        <v>50</v>
      </c>
      <c r="D106" s="68">
        <f>D107</f>
        <v>519.70000000000005</v>
      </c>
      <c r="E106" s="77"/>
    </row>
    <row r="107" spans="1:5" ht="112.5" x14ac:dyDescent="0.3">
      <c r="A107" s="138" t="s">
        <v>519</v>
      </c>
      <c r="B107" s="12" t="s">
        <v>858</v>
      </c>
      <c r="C107" s="12" t="s">
        <v>50</v>
      </c>
      <c r="D107" s="68">
        <f>D109+D108+D112</f>
        <v>519.70000000000005</v>
      </c>
      <c r="E107" s="77"/>
    </row>
    <row r="108" spans="1:5" ht="75" x14ac:dyDescent="0.3">
      <c r="A108" s="138" t="s">
        <v>56</v>
      </c>
      <c r="B108" s="12" t="s">
        <v>858</v>
      </c>
      <c r="C108" s="12" t="s">
        <v>57</v>
      </c>
      <c r="D108" s="68">
        <f>'В-25'!G109</f>
        <v>406.39475000000004</v>
      </c>
      <c r="E108" s="77"/>
    </row>
    <row r="109" spans="1:5" ht="37.5" x14ac:dyDescent="0.3">
      <c r="A109" s="138" t="s">
        <v>264</v>
      </c>
      <c r="B109" s="12" t="s">
        <v>808</v>
      </c>
      <c r="C109" s="12" t="s">
        <v>261</v>
      </c>
      <c r="D109" s="68">
        <f>'В-25'!G111</f>
        <v>113.30525</v>
      </c>
      <c r="E109" s="77"/>
    </row>
    <row r="110" spans="1:5" ht="93.75" x14ac:dyDescent="0.3">
      <c r="A110" s="138" t="s">
        <v>417</v>
      </c>
      <c r="B110" s="12" t="s">
        <v>808</v>
      </c>
      <c r="C110" s="12" t="s">
        <v>50</v>
      </c>
      <c r="D110" s="68">
        <f>D111</f>
        <v>0</v>
      </c>
      <c r="E110" s="77"/>
    </row>
    <row r="111" spans="1:5" ht="37.5" x14ac:dyDescent="0.3">
      <c r="A111" s="138" t="s">
        <v>425</v>
      </c>
      <c r="B111" s="12" t="s">
        <v>418</v>
      </c>
      <c r="C111" s="12" t="s">
        <v>59</v>
      </c>
      <c r="D111" s="68">
        <f>'[2]В-21'!G88</f>
        <v>0</v>
      </c>
      <c r="E111" s="77"/>
    </row>
    <row r="112" spans="1:5" ht="37.5" x14ac:dyDescent="0.3">
      <c r="A112" s="138" t="s">
        <v>264</v>
      </c>
      <c r="B112" s="12" t="s">
        <v>518</v>
      </c>
      <c r="C112" s="12" t="s">
        <v>261</v>
      </c>
      <c r="D112" s="68">
        <v>0</v>
      </c>
      <c r="E112" s="77"/>
    </row>
    <row r="113" spans="1:5" ht="18.75" x14ac:dyDescent="0.3">
      <c r="A113" s="138" t="s">
        <v>68</v>
      </c>
      <c r="B113" s="12" t="s">
        <v>852</v>
      </c>
      <c r="C113" s="12" t="s">
        <v>50</v>
      </c>
      <c r="D113" s="68">
        <f>D114+D119+D127+D124+D131+D134+D129</f>
        <v>340974.30000000005</v>
      </c>
      <c r="E113" s="77"/>
    </row>
    <row r="114" spans="1:5" ht="75" x14ac:dyDescent="0.3">
      <c r="A114" s="138" t="s">
        <v>76</v>
      </c>
      <c r="B114" s="12" t="s">
        <v>853</v>
      </c>
      <c r="C114" s="12" t="s">
        <v>50</v>
      </c>
      <c r="D114" s="68">
        <f>D115+D116+D117+D118</f>
        <v>198354</v>
      </c>
      <c r="E114" s="77"/>
    </row>
    <row r="115" spans="1:5" ht="75" x14ac:dyDescent="0.3">
      <c r="A115" s="138" t="s">
        <v>56</v>
      </c>
      <c r="B115" s="12" t="s">
        <v>853</v>
      </c>
      <c r="C115" s="12" t="s">
        <v>57</v>
      </c>
      <c r="D115" s="68">
        <f>'В-25'!G130+'В-25'!G352</f>
        <v>153876</v>
      </c>
      <c r="E115" s="77"/>
    </row>
    <row r="116" spans="1:5" ht="37.5" x14ac:dyDescent="0.3">
      <c r="A116" s="138" t="s">
        <v>425</v>
      </c>
      <c r="B116" s="12" t="s">
        <v>853</v>
      </c>
      <c r="C116" s="12" t="s">
        <v>59</v>
      </c>
      <c r="D116" s="68">
        <f>'В-25'!G131</f>
        <v>4719</v>
      </c>
      <c r="E116" s="77"/>
    </row>
    <row r="117" spans="1:5" ht="37.5" x14ac:dyDescent="0.3">
      <c r="A117" s="138" t="s">
        <v>264</v>
      </c>
      <c r="B117" s="12" t="s">
        <v>853</v>
      </c>
      <c r="C117" s="12" t="s">
        <v>261</v>
      </c>
      <c r="D117" s="68">
        <f>'В-25'!G133</f>
        <v>39759</v>
      </c>
      <c r="E117" s="77"/>
    </row>
    <row r="118" spans="1:5" ht="18.75" hidden="1" x14ac:dyDescent="0.3">
      <c r="A118" s="138" t="s">
        <v>60</v>
      </c>
      <c r="B118" s="12" t="s">
        <v>806</v>
      </c>
      <c r="C118" s="12" t="s">
        <v>61</v>
      </c>
      <c r="D118" s="68">
        <f>'В-25'!G134</f>
        <v>0</v>
      </c>
      <c r="E118" s="77"/>
    </row>
    <row r="119" spans="1:5" ht="56.25" x14ac:dyDescent="0.3">
      <c r="A119" s="138" t="s">
        <v>70</v>
      </c>
      <c r="B119" s="12" t="s">
        <v>854</v>
      </c>
      <c r="C119" s="12" t="s">
        <v>50</v>
      </c>
      <c r="D119" s="68">
        <f>D120+D121+D123+D122</f>
        <v>140351.30000000002</v>
      </c>
      <c r="E119" s="77"/>
    </row>
    <row r="120" spans="1:5" ht="75" x14ac:dyDescent="0.3">
      <c r="A120" s="138" t="s">
        <v>56</v>
      </c>
      <c r="B120" s="12" t="s">
        <v>854</v>
      </c>
      <c r="C120" s="12" t="s">
        <v>57</v>
      </c>
      <c r="D120" s="68">
        <f>'В-25'!G70+'В-25'!G354</f>
        <v>138717.38800000001</v>
      </c>
      <c r="E120" s="77"/>
    </row>
    <row r="121" spans="1:5" ht="37.5" x14ac:dyDescent="0.3">
      <c r="A121" s="138" t="s">
        <v>425</v>
      </c>
      <c r="B121" s="12" t="s">
        <v>854</v>
      </c>
      <c r="C121" s="12" t="s">
        <v>59</v>
      </c>
      <c r="D121" s="68">
        <f>'В-25'!G71</f>
        <v>1543.912</v>
      </c>
      <c r="E121" s="77"/>
    </row>
    <row r="122" spans="1:5" ht="18.75" x14ac:dyDescent="0.3">
      <c r="A122" s="138" t="s">
        <v>175</v>
      </c>
      <c r="B122" s="12" t="s">
        <v>71</v>
      </c>
      <c r="C122" s="12" t="s">
        <v>176</v>
      </c>
      <c r="D122" s="68">
        <f>'В-25'!G72</f>
        <v>90</v>
      </c>
      <c r="E122" s="77"/>
    </row>
    <row r="123" spans="1:5" ht="18.75" hidden="1" x14ac:dyDescent="0.3">
      <c r="A123" s="138" t="s">
        <v>60</v>
      </c>
      <c r="B123" s="12" t="s">
        <v>71</v>
      </c>
      <c r="C123" s="12" t="s">
        <v>61</v>
      </c>
      <c r="D123" s="68">
        <f>'[2]В-21'!G60</f>
        <v>0</v>
      </c>
      <c r="E123" s="77"/>
    </row>
    <row r="124" spans="1:5" ht="37.5" x14ac:dyDescent="0.3">
      <c r="A124" s="138" t="s">
        <v>688</v>
      </c>
      <c r="B124" s="12" t="s">
        <v>875</v>
      </c>
      <c r="C124" s="12" t="s">
        <v>50</v>
      </c>
      <c r="D124" s="68">
        <f>D125+D126</f>
        <v>1277.5999999999999</v>
      </c>
      <c r="E124" s="77"/>
    </row>
    <row r="125" spans="1:5" ht="37.5" x14ac:dyDescent="0.3">
      <c r="A125" s="138" t="s">
        <v>425</v>
      </c>
      <c r="B125" s="12" t="s">
        <v>875</v>
      </c>
      <c r="C125" s="12" t="s">
        <v>59</v>
      </c>
      <c r="D125" s="68">
        <f>'В-25'!G136</f>
        <v>573.5</v>
      </c>
      <c r="E125" s="77"/>
    </row>
    <row r="126" spans="1:5" ht="37.5" x14ac:dyDescent="0.3">
      <c r="A126" s="138" t="s">
        <v>264</v>
      </c>
      <c r="B126" s="12" t="s">
        <v>875</v>
      </c>
      <c r="C126" s="12" t="s">
        <v>261</v>
      </c>
      <c r="D126" s="68">
        <f>'В-25'!G137</f>
        <v>704.1</v>
      </c>
      <c r="E126" s="77"/>
    </row>
    <row r="127" spans="1:5" ht="61.5" hidden="1" customHeight="1" x14ac:dyDescent="0.3">
      <c r="A127" s="161" t="s">
        <v>132</v>
      </c>
      <c r="B127" s="18" t="s">
        <v>876</v>
      </c>
      <c r="C127" s="18" t="s">
        <v>50</v>
      </c>
      <c r="D127" s="68">
        <f>D128</f>
        <v>0</v>
      </c>
      <c r="E127" s="77"/>
    </row>
    <row r="128" spans="1:5" ht="75" hidden="1" x14ac:dyDescent="0.3">
      <c r="A128" s="138" t="s">
        <v>56</v>
      </c>
      <c r="B128" s="18" t="s">
        <v>876</v>
      </c>
      <c r="C128" s="12" t="s">
        <v>57</v>
      </c>
      <c r="D128" s="68">
        <f>'В-25'!G139</f>
        <v>0</v>
      </c>
      <c r="E128" s="77"/>
    </row>
    <row r="129" spans="1:5" ht="150" x14ac:dyDescent="0.3">
      <c r="A129" s="261" t="s">
        <v>1151</v>
      </c>
      <c r="B129" s="12" t="s">
        <v>1150</v>
      </c>
      <c r="C129" s="12" t="s">
        <v>50</v>
      </c>
      <c r="D129" s="68">
        <f>D130</f>
        <v>0</v>
      </c>
      <c r="E129" s="77"/>
    </row>
    <row r="130" spans="1:5" ht="37.5" x14ac:dyDescent="0.3">
      <c r="A130" s="138" t="s">
        <v>425</v>
      </c>
      <c r="B130" s="12" t="s">
        <v>1150</v>
      </c>
      <c r="C130" s="12" t="s">
        <v>59</v>
      </c>
      <c r="D130" s="68">
        <f>'В-25'!G82</f>
        <v>0</v>
      </c>
      <c r="E130" s="77"/>
    </row>
    <row r="131" spans="1:5" ht="37.5" x14ac:dyDescent="0.3">
      <c r="A131" s="138" t="s">
        <v>769</v>
      </c>
      <c r="B131" s="12" t="s">
        <v>877</v>
      </c>
      <c r="C131" s="12" t="s">
        <v>50</v>
      </c>
      <c r="D131" s="68">
        <f>D132+D133</f>
        <v>806.40000000000009</v>
      </c>
      <c r="E131" s="77"/>
    </row>
    <row r="132" spans="1:5" ht="37.5" x14ac:dyDescent="0.3">
      <c r="A132" s="138" t="s">
        <v>425</v>
      </c>
      <c r="B132" s="12" t="s">
        <v>877</v>
      </c>
      <c r="C132" s="12" t="s">
        <v>59</v>
      </c>
      <c r="D132" s="68">
        <f>'В-25'!G141</f>
        <v>590.20000000000005</v>
      </c>
      <c r="E132" s="77"/>
    </row>
    <row r="133" spans="1:5" ht="37.5" x14ac:dyDescent="0.3">
      <c r="A133" s="138" t="s">
        <v>264</v>
      </c>
      <c r="B133" s="12" t="s">
        <v>877</v>
      </c>
      <c r="C133" s="12" t="s">
        <v>261</v>
      </c>
      <c r="D133" s="68">
        <f>'В-25'!G142</f>
        <v>216.2</v>
      </c>
      <c r="E133" s="77"/>
    </row>
    <row r="134" spans="1:5" ht="93.75" x14ac:dyDescent="0.3">
      <c r="A134" s="138" t="s">
        <v>948</v>
      </c>
      <c r="B134" s="12" t="s">
        <v>949</v>
      </c>
      <c r="C134" s="12" t="s">
        <v>50</v>
      </c>
      <c r="D134" s="68">
        <f>D135+D136</f>
        <v>185</v>
      </c>
      <c r="E134" s="77"/>
    </row>
    <row r="135" spans="1:5" ht="37.5" x14ac:dyDescent="0.3">
      <c r="A135" s="138" t="s">
        <v>425</v>
      </c>
      <c r="B135" s="12" t="s">
        <v>949</v>
      </c>
      <c r="C135" s="12" t="s">
        <v>59</v>
      </c>
      <c r="D135" s="68">
        <f>'В-25'!G144</f>
        <v>45</v>
      </c>
      <c r="E135" s="77"/>
    </row>
    <row r="136" spans="1:5" ht="37.5" x14ac:dyDescent="0.3">
      <c r="A136" s="138" t="s">
        <v>264</v>
      </c>
      <c r="B136" s="12" t="s">
        <v>949</v>
      </c>
      <c r="C136" s="12" t="s">
        <v>261</v>
      </c>
      <c r="D136" s="68">
        <f>'В-25'!G145</f>
        <v>140</v>
      </c>
      <c r="E136" s="77"/>
    </row>
    <row r="137" spans="1:5" ht="75" x14ac:dyDescent="0.3">
      <c r="A137" s="138" t="s">
        <v>944</v>
      </c>
      <c r="B137" s="12" t="s">
        <v>981</v>
      </c>
      <c r="C137" s="12" t="s">
        <v>50</v>
      </c>
      <c r="D137" s="68">
        <f>D138+D139</f>
        <v>539.1</v>
      </c>
      <c r="E137" s="77"/>
    </row>
    <row r="138" spans="1:5" ht="75" x14ac:dyDescent="0.3">
      <c r="A138" s="138" t="s">
        <v>56</v>
      </c>
      <c r="B138" s="12" t="s">
        <v>981</v>
      </c>
      <c r="C138" s="12" t="s">
        <v>57</v>
      </c>
      <c r="D138" s="68">
        <f>'В-25'!G147</f>
        <v>449.25</v>
      </c>
      <c r="E138" s="77"/>
    </row>
    <row r="139" spans="1:5" ht="37.5" x14ac:dyDescent="0.3">
      <c r="A139" s="138" t="s">
        <v>264</v>
      </c>
      <c r="B139" s="12" t="s">
        <v>981</v>
      </c>
      <c r="C139" s="12" t="s">
        <v>261</v>
      </c>
      <c r="D139" s="68">
        <f>'В-25'!G148</f>
        <v>89.85</v>
      </c>
      <c r="E139" s="77"/>
    </row>
    <row r="140" spans="1:5" ht="56.25" customHeight="1" x14ac:dyDescent="0.3">
      <c r="A140" s="138" t="s">
        <v>477</v>
      </c>
      <c r="B140" s="12" t="s">
        <v>942</v>
      </c>
      <c r="C140" s="12" t="s">
        <v>50</v>
      </c>
      <c r="D140" s="68">
        <f>D141+D142</f>
        <v>24975</v>
      </c>
      <c r="E140" s="77"/>
    </row>
    <row r="141" spans="1:5" ht="75" x14ac:dyDescent="0.3">
      <c r="A141" s="138" t="s">
        <v>56</v>
      </c>
      <c r="B141" s="12" t="s">
        <v>942</v>
      </c>
      <c r="C141" s="12" t="s">
        <v>57</v>
      </c>
      <c r="D141" s="68">
        <f>'В-25'!G150</f>
        <v>19764.400000000001</v>
      </c>
      <c r="E141" s="77"/>
    </row>
    <row r="142" spans="1:5" ht="37.5" x14ac:dyDescent="0.3">
      <c r="A142" s="138" t="s">
        <v>264</v>
      </c>
      <c r="B142" s="12" t="s">
        <v>942</v>
      </c>
      <c r="C142" s="12" t="s">
        <v>261</v>
      </c>
      <c r="D142" s="68">
        <f>'В-25'!G151</f>
        <v>5210.6000000000004</v>
      </c>
      <c r="E142" s="77"/>
    </row>
    <row r="143" spans="1:5" ht="56.25" x14ac:dyDescent="0.3">
      <c r="A143" s="138" t="s">
        <v>611</v>
      </c>
      <c r="B143" s="12" t="s">
        <v>869</v>
      </c>
      <c r="C143" s="12" t="s">
        <v>50</v>
      </c>
      <c r="D143" s="68">
        <f>D144+D145</f>
        <v>16443.5</v>
      </c>
      <c r="E143" s="77"/>
    </row>
    <row r="144" spans="1:5" ht="37.5" x14ac:dyDescent="0.3">
      <c r="A144" s="138" t="s">
        <v>425</v>
      </c>
      <c r="B144" s="12" t="s">
        <v>869</v>
      </c>
      <c r="C144" s="12" t="s">
        <v>59</v>
      </c>
      <c r="D144" s="68">
        <f>'В-25'!G153</f>
        <v>11814.6</v>
      </c>
      <c r="E144" s="77"/>
    </row>
    <row r="145" spans="1:5" ht="37.5" x14ac:dyDescent="0.3">
      <c r="A145" s="138" t="s">
        <v>264</v>
      </c>
      <c r="B145" s="12" t="s">
        <v>869</v>
      </c>
      <c r="C145" s="12" t="s">
        <v>261</v>
      </c>
      <c r="D145" s="68">
        <f>'В-25'!G154</f>
        <v>4628.8999999999996</v>
      </c>
      <c r="E145" s="77"/>
    </row>
    <row r="146" spans="1:5" ht="18.75" hidden="1" x14ac:dyDescent="0.3">
      <c r="A146" s="138" t="s">
        <v>938</v>
      </c>
      <c r="B146" s="12" t="s">
        <v>939</v>
      </c>
      <c r="C146" s="12" t="s">
        <v>50</v>
      </c>
      <c r="D146" s="68">
        <f>D147</f>
        <v>0</v>
      </c>
      <c r="E146" s="77"/>
    </row>
    <row r="147" spans="1:5" ht="37.5" hidden="1" x14ac:dyDescent="0.3">
      <c r="A147" s="138" t="s">
        <v>425</v>
      </c>
      <c r="B147" s="12" t="s">
        <v>939</v>
      </c>
      <c r="C147" s="12" t="s">
        <v>59</v>
      </c>
      <c r="D147" s="68">
        <f>'В-25'!G75</f>
        <v>0</v>
      </c>
      <c r="E147" s="77"/>
    </row>
    <row r="148" spans="1:5" ht="37.5" hidden="1" x14ac:dyDescent="0.3">
      <c r="A148" s="151" t="s">
        <v>633</v>
      </c>
      <c r="B148" s="12" t="s">
        <v>695</v>
      </c>
      <c r="C148" s="12" t="s">
        <v>50</v>
      </c>
      <c r="D148" s="68">
        <f>D149</f>
        <v>0</v>
      </c>
      <c r="E148" s="77"/>
    </row>
    <row r="149" spans="1:5" ht="18.75" hidden="1" x14ac:dyDescent="0.3">
      <c r="A149" s="138" t="s">
        <v>759</v>
      </c>
      <c r="B149" s="12" t="s">
        <v>760</v>
      </c>
      <c r="C149" s="12" t="s">
        <v>50</v>
      </c>
      <c r="D149" s="68">
        <f>D150</f>
        <v>0</v>
      </c>
      <c r="E149" s="77"/>
    </row>
    <row r="150" spans="1:5" ht="75" hidden="1" x14ac:dyDescent="0.3">
      <c r="A150" s="201" t="s">
        <v>742</v>
      </c>
      <c r="B150" s="12" t="s">
        <v>741</v>
      </c>
      <c r="C150" s="12" t="s">
        <v>50</v>
      </c>
      <c r="D150" s="68">
        <f>D151</f>
        <v>0</v>
      </c>
      <c r="E150" s="77"/>
    </row>
    <row r="151" spans="1:5" ht="37.5" hidden="1" x14ac:dyDescent="0.3">
      <c r="A151" s="138" t="s">
        <v>425</v>
      </c>
      <c r="B151" s="12" t="s">
        <v>741</v>
      </c>
      <c r="C151" s="12" t="s">
        <v>59</v>
      </c>
      <c r="D151" s="68">
        <f>'В-25'!G164</f>
        <v>0</v>
      </c>
      <c r="E151" s="77"/>
    </row>
    <row r="152" spans="1:5" ht="39" x14ac:dyDescent="0.35">
      <c r="A152" s="162" t="s">
        <v>139</v>
      </c>
      <c r="B152" s="59" t="s">
        <v>72</v>
      </c>
      <c r="C152" s="60" t="s">
        <v>50</v>
      </c>
      <c r="D152" s="190">
        <f>D153+D159</f>
        <v>3352.1959800000004</v>
      </c>
      <c r="E152" s="77"/>
    </row>
    <row r="153" spans="1:5" ht="37.5" x14ac:dyDescent="0.3">
      <c r="A153" s="138" t="s">
        <v>52</v>
      </c>
      <c r="B153" s="13" t="s">
        <v>150</v>
      </c>
      <c r="C153" s="13" t="s">
        <v>50</v>
      </c>
      <c r="D153" s="68">
        <f>D154+D157</f>
        <v>3211.9259800000004</v>
      </c>
      <c r="E153" s="77"/>
    </row>
    <row r="154" spans="1:5" ht="18.75" x14ac:dyDescent="0.3">
      <c r="A154" s="138" t="s">
        <v>78</v>
      </c>
      <c r="B154" s="13" t="s">
        <v>151</v>
      </c>
      <c r="C154" s="13" t="s">
        <v>50</v>
      </c>
      <c r="D154" s="68">
        <f>D155+D156</f>
        <v>3211.9259800000004</v>
      </c>
      <c r="E154" s="77"/>
    </row>
    <row r="155" spans="1:5" ht="75" x14ac:dyDescent="0.3">
      <c r="A155" s="138" t="s">
        <v>56</v>
      </c>
      <c r="B155" s="13" t="s">
        <v>151</v>
      </c>
      <c r="C155" s="13" t="s">
        <v>57</v>
      </c>
      <c r="D155" s="68">
        <f>'В-25'!G299</f>
        <v>3132.5260200000002</v>
      </c>
      <c r="E155" s="77"/>
    </row>
    <row r="156" spans="1:5" ht="37.5" x14ac:dyDescent="0.3">
      <c r="A156" s="138" t="s">
        <v>425</v>
      </c>
      <c r="B156" s="13" t="s">
        <v>151</v>
      </c>
      <c r="C156" s="13" t="s">
        <v>59</v>
      </c>
      <c r="D156" s="68">
        <f>'В-25'!G300</f>
        <v>79.399959999999993</v>
      </c>
      <c r="E156" s="77"/>
    </row>
    <row r="157" spans="1:5" ht="37.5" hidden="1" x14ac:dyDescent="0.3">
      <c r="A157" s="157" t="s">
        <v>374</v>
      </c>
      <c r="B157" s="13" t="s">
        <v>509</v>
      </c>
      <c r="C157" s="13" t="s">
        <v>50</v>
      </c>
      <c r="D157" s="68">
        <f>D158</f>
        <v>0</v>
      </c>
      <c r="E157" s="77"/>
    </row>
    <row r="158" spans="1:5" ht="75" hidden="1" x14ac:dyDescent="0.3">
      <c r="A158" s="138" t="s">
        <v>56</v>
      </c>
      <c r="B158" s="13" t="s">
        <v>509</v>
      </c>
      <c r="C158" s="13" t="s">
        <v>57</v>
      </c>
      <c r="D158" s="68">
        <f>'В-25'!G302</f>
        <v>0</v>
      </c>
      <c r="E158" s="77"/>
    </row>
    <row r="159" spans="1:5" ht="18.75" x14ac:dyDescent="0.3">
      <c r="A159" s="138" t="s">
        <v>62</v>
      </c>
      <c r="B159" s="12" t="s">
        <v>154</v>
      </c>
      <c r="C159" s="12" t="s">
        <v>50</v>
      </c>
      <c r="D159" s="68">
        <f>D160</f>
        <v>140.26999999999998</v>
      </c>
      <c r="E159" s="77"/>
    </row>
    <row r="160" spans="1:5" ht="18.75" x14ac:dyDescent="0.3">
      <c r="A160" s="138" t="s">
        <v>153</v>
      </c>
      <c r="B160" s="12" t="s">
        <v>155</v>
      </c>
      <c r="C160" s="12" t="s">
        <v>50</v>
      </c>
      <c r="D160" s="68">
        <f>D161+D162+D163</f>
        <v>140.26999999999998</v>
      </c>
      <c r="E160" s="77"/>
    </row>
    <row r="161" spans="1:5" ht="37.5" x14ac:dyDescent="0.3">
      <c r="A161" s="138" t="s">
        <v>425</v>
      </c>
      <c r="B161" s="12" t="s">
        <v>155</v>
      </c>
      <c r="C161" s="12" t="s">
        <v>59</v>
      </c>
      <c r="D161" s="68">
        <f>'В-25'!G305</f>
        <v>60.269999999999996</v>
      </c>
      <c r="E161" s="77"/>
    </row>
    <row r="162" spans="1:5" ht="18.75" x14ac:dyDescent="0.3">
      <c r="A162" s="138" t="s">
        <v>175</v>
      </c>
      <c r="B162" s="12" t="s">
        <v>155</v>
      </c>
      <c r="C162" s="12" t="s">
        <v>176</v>
      </c>
      <c r="D162" s="68">
        <f>'В-25'!G1412+'В-25'!G331</f>
        <v>50</v>
      </c>
      <c r="E162" s="77"/>
    </row>
    <row r="163" spans="1:5" ht="37.5" x14ac:dyDescent="0.3">
      <c r="A163" s="138" t="s">
        <v>264</v>
      </c>
      <c r="B163" s="12" t="s">
        <v>155</v>
      </c>
      <c r="C163" s="12" t="s">
        <v>261</v>
      </c>
      <c r="D163" s="68">
        <f>'В-25'!G332</f>
        <v>30</v>
      </c>
      <c r="E163" s="77"/>
    </row>
    <row r="164" spans="1:5" ht="59.25" customHeight="1" x14ac:dyDescent="0.35">
      <c r="A164" s="156" t="s">
        <v>140</v>
      </c>
      <c r="B164" s="59" t="s">
        <v>77</v>
      </c>
      <c r="C164" s="60" t="s">
        <v>50</v>
      </c>
      <c r="D164" s="190">
        <f>D165+D180+D184+D187+D189</f>
        <v>3615.22</v>
      </c>
      <c r="E164" s="77"/>
    </row>
    <row r="165" spans="1:5" ht="18.75" x14ac:dyDescent="0.3">
      <c r="A165" s="138" t="s">
        <v>62</v>
      </c>
      <c r="B165" s="12" t="s">
        <v>152</v>
      </c>
      <c r="C165" s="12" t="s">
        <v>50</v>
      </c>
      <c r="D165" s="68">
        <f>D169+D166+D171+D173+D175+D177</f>
        <v>1247.8499999999999</v>
      </c>
      <c r="E165" s="77"/>
    </row>
    <row r="166" spans="1:5" ht="18.75" x14ac:dyDescent="0.3">
      <c r="A166" s="138" t="s">
        <v>164</v>
      </c>
      <c r="B166" s="12" t="s">
        <v>455</v>
      </c>
      <c r="C166" s="12" t="s">
        <v>50</v>
      </c>
      <c r="D166" s="68">
        <f>D167+D168</f>
        <v>63</v>
      </c>
      <c r="E166" s="77"/>
    </row>
    <row r="167" spans="1:5" ht="18.75" x14ac:dyDescent="0.3">
      <c r="A167" s="138" t="s">
        <v>58</v>
      </c>
      <c r="B167" s="12" t="s">
        <v>455</v>
      </c>
      <c r="C167" s="12" t="s">
        <v>59</v>
      </c>
      <c r="D167" s="68">
        <f>'В-25'!G236</f>
        <v>63</v>
      </c>
      <c r="E167" s="77"/>
    </row>
    <row r="168" spans="1:5" ht="37.5" x14ac:dyDescent="0.3">
      <c r="A168" s="138" t="s">
        <v>264</v>
      </c>
      <c r="B168" s="12" t="s">
        <v>455</v>
      </c>
      <c r="C168" s="12" t="s">
        <v>261</v>
      </c>
      <c r="D168" s="68">
        <f>'В-25'!G245+'В-25'!G1252</f>
        <v>0</v>
      </c>
      <c r="E168" s="77"/>
    </row>
    <row r="169" spans="1:5" ht="18.75" hidden="1" outlineLevel="1" x14ac:dyDescent="0.3">
      <c r="A169" s="138" t="s">
        <v>156</v>
      </c>
      <c r="B169" s="12" t="s">
        <v>157</v>
      </c>
      <c r="C169" s="12" t="s">
        <v>50</v>
      </c>
      <c r="D169" s="68">
        <f>D170</f>
        <v>0</v>
      </c>
      <c r="E169" s="77"/>
    </row>
    <row r="170" spans="1:5" ht="37.5" hidden="1" outlineLevel="1" x14ac:dyDescent="0.3">
      <c r="A170" s="138" t="s">
        <v>425</v>
      </c>
      <c r="B170" s="12" t="s">
        <v>157</v>
      </c>
      <c r="C170" s="12" t="s">
        <v>59</v>
      </c>
      <c r="D170" s="68">
        <f>'[2]В-21'!G133</f>
        <v>0</v>
      </c>
      <c r="E170" s="77"/>
    </row>
    <row r="171" spans="1:5" ht="18.75" collapsed="1" x14ac:dyDescent="0.3">
      <c r="A171" s="138" t="s">
        <v>66</v>
      </c>
      <c r="B171" s="12" t="s">
        <v>456</v>
      </c>
      <c r="C171" s="12" t="s">
        <v>50</v>
      </c>
      <c r="D171" s="68">
        <f>D172</f>
        <v>1100.0999999999999</v>
      </c>
      <c r="E171" s="77"/>
    </row>
    <row r="172" spans="1:5" ht="37.5" x14ac:dyDescent="0.3">
      <c r="A172" s="138" t="s">
        <v>425</v>
      </c>
      <c r="B172" s="12" t="s">
        <v>456</v>
      </c>
      <c r="C172" s="12" t="s">
        <v>59</v>
      </c>
      <c r="D172" s="68">
        <f>'В-25'!G242</f>
        <v>1100.0999999999999</v>
      </c>
      <c r="E172" s="77"/>
    </row>
    <row r="173" spans="1:5" ht="42" hidden="1" customHeight="1" x14ac:dyDescent="0.3">
      <c r="A173" s="138" t="s">
        <v>500</v>
      </c>
      <c r="B173" s="12" t="s">
        <v>499</v>
      </c>
      <c r="C173" s="12" t="s">
        <v>50</v>
      </c>
      <c r="D173" s="68">
        <f>D174</f>
        <v>0</v>
      </c>
      <c r="E173" s="77"/>
    </row>
    <row r="174" spans="1:5" ht="37.5" hidden="1" x14ac:dyDescent="0.3">
      <c r="A174" s="138" t="s">
        <v>425</v>
      </c>
      <c r="B174" s="12" t="s">
        <v>499</v>
      </c>
      <c r="C174" s="12" t="s">
        <v>59</v>
      </c>
      <c r="D174" s="68">
        <f>'[2]В-21'!G137</f>
        <v>0</v>
      </c>
      <c r="E174" s="77"/>
    </row>
    <row r="175" spans="1:5" ht="18.75" hidden="1" x14ac:dyDescent="0.3">
      <c r="A175" s="138" t="s">
        <v>75</v>
      </c>
      <c r="B175" s="12" t="s">
        <v>614</v>
      </c>
      <c r="C175" s="12" t="s">
        <v>50</v>
      </c>
      <c r="D175" s="68">
        <f>D176</f>
        <v>0</v>
      </c>
      <c r="E175" s="77"/>
    </row>
    <row r="176" spans="1:5" ht="37.5" hidden="1" x14ac:dyDescent="0.3">
      <c r="A176" s="138" t="s">
        <v>425</v>
      </c>
      <c r="B176" s="12" t="s">
        <v>614</v>
      </c>
      <c r="C176" s="12" t="s">
        <v>59</v>
      </c>
      <c r="D176" s="68">
        <f>'В-25'!G247</f>
        <v>0</v>
      </c>
      <c r="E176" s="77"/>
    </row>
    <row r="177" spans="1:5" ht="18.75" x14ac:dyDescent="0.3">
      <c r="A177" s="138" t="s">
        <v>311</v>
      </c>
      <c r="B177" s="12" t="s">
        <v>758</v>
      </c>
      <c r="C177" s="12" t="s">
        <v>50</v>
      </c>
      <c r="D177" s="68">
        <f>D178+D179</f>
        <v>84.75</v>
      </c>
      <c r="E177" s="77"/>
    </row>
    <row r="178" spans="1:5" ht="37.5" x14ac:dyDescent="0.3">
      <c r="A178" s="138" t="s">
        <v>425</v>
      </c>
      <c r="B178" s="12" t="s">
        <v>758</v>
      </c>
      <c r="C178" s="12" t="s">
        <v>59</v>
      </c>
      <c r="D178" s="68">
        <f>'В-25'!G240</f>
        <v>84.75</v>
      </c>
      <c r="E178" s="77"/>
    </row>
    <row r="179" spans="1:5" ht="37.5" x14ac:dyDescent="0.3">
      <c r="A179" s="138" t="s">
        <v>264</v>
      </c>
      <c r="B179" s="12" t="s">
        <v>758</v>
      </c>
      <c r="C179" s="12" t="s">
        <v>261</v>
      </c>
      <c r="D179" s="68">
        <f>'В-25'!G1255</f>
        <v>0</v>
      </c>
      <c r="E179" s="77"/>
    </row>
    <row r="180" spans="1:5" ht="56.25" x14ac:dyDescent="0.3">
      <c r="A180" s="138" t="s">
        <v>249</v>
      </c>
      <c r="B180" s="12" t="s">
        <v>859</v>
      </c>
      <c r="C180" s="12" t="s">
        <v>50</v>
      </c>
      <c r="D180" s="68">
        <f>D181</f>
        <v>2343.17</v>
      </c>
      <c r="E180" s="77"/>
    </row>
    <row r="181" spans="1:5" ht="37.5" x14ac:dyDescent="0.3">
      <c r="A181" s="138" t="s">
        <v>301</v>
      </c>
      <c r="B181" s="12" t="s">
        <v>860</v>
      </c>
      <c r="C181" s="12" t="s">
        <v>50</v>
      </c>
      <c r="D181" s="68">
        <f>D182+D183</f>
        <v>2343.17</v>
      </c>
      <c r="E181" s="77"/>
    </row>
    <row r="182" spans="1:5" ht="37.5" x14ac:dyDescent="0.3">
      <c r="A182" s="138" t="s">
        <v>425</v>
      </c>
      <c r="B182" s="12" t="s">
        <v>860</v>
      </c>
      <c r="C182" s="12" t="s">
        <v>59</v>
      </c>
      <c r="D182" s="68">
        <f>'В-25'!G250</f>
        <v>993.90652000000023</v>
      </c>
      <c r="E182" s="77"/>
    </row>
    <row r="183" spans="1:5" ht="37.5" x14ac:dyDescent="0.3">
      <c r="A183" s="138" t="s">
        <v>264</v>
      </c>
      <c r="B183" s="12" t="s">
        <v>860</v>
      </c>
      <c r="C183" s="12" t="s">
        <v>261</v>
      </c>
      <c r="D183" s="68">
        <f>'В-25'!G251+'В-25'!G1257</f>
        <v>1349.2634799999998</v>
      </c>
      <c r="E183" s="77"/>
    </row>
    <row r="184" spans="1:5" ht="37.5" x14ac:dyDescent="0.3">
      <c r="A184" s="138" t="s">
        <v>301</v>
      </c>
      <c r="B184" s="12" t="s">
        <v>861</v>
      </c>
      <c r="C184" s="12" t="s">
        <v>50</v>
      </c>
      <c r="D184" s="68">
        <f>D185+D186</f>
        <v>24.2</v>
      </c>
      <c r="E184" s="77"/>
    </row>
    <row r="185" spans="1:5" ht="37.5" x14ac:dyDescent="0.3">
      <c r="A185" s="138" t="s">
        <v>425</v>
      </c>
      <c r="B185" s="12" t="s">
        <v>861</v>
      </c>
      <c r="C185" s="12" t="s">
        <v>59</v>
      </c>
      <c r="D185" s="68">
        <f>'В-25'!G253</f>
        <v>10.57108</v>
      </c>
      <c r="E185" s="77"/>
    </row>
    <row r="186" spans="1:5" ht="37.5" x14ac:dyDescent="0.3">
      <c r="A186" s="138" t="s">
        <v>264</v>
      </c>
      <c r="B186" s="12" t="s">
        <v>861</v>
      </c>
      <c r="C186" s="12" t="s">
        <v>261</v>
      </c>
      <c r="D186" s="68">
        <f>'В-25'!G254+'В-25'!G1259</f>
        <v>13.628919999999999</v>
      </c>
      <c r="E186" s="77"/>
    </row>
    <row r="187" spans="1:5" ht="18.75" hidden="1" x14ac:dyDescent="0.3">
      <c r="A187" s="224" t="s">
        <v>921</v>
      </c>
      <c r="B187" s="11" t="s">
        <v>919</v>
      </c>
      <c r="C187" s="12" t="s">
        <v>50</v>
      </c>
      <c r="D187" s="68">
        <f>D188</f>
        <v>0</v>
      </c>
      <c r="E187" s="77"/>
    </row>
    <row r="188" spans="1:5" ht="37.5" hidden="1" x14ac:dyDescent="0.3">
      <c r="A188" s="138" t="s">
        <v>425</v>
      </c>
      <c r="B188" s="11" t="s">
        <v>919</v>
      </c>
      <c r="C188" s="12" t="s">
        <v>59</v>
      </c>
      <c r="D188" s="68">
        <f>'В-25'!G437</f>
        <v>0</v>
      </c>
      <c r="E188" s="77"/>
    </row>
    <row r="189" spans="1:5" ht="18.75" hidden="1" x14ac:dyDescent="0.3">
      <c r="A189" s="224" t="s">
        <v>921</v>
      </c>
      <c r="B189" s="11" t="s">
        <v>920</v>
      </c>
      <c r="C189" s="12" t="s">
        <v>50</v>
      </c>
      <c r="D189" s="68">
        <f>D190</f>
        <v>0</v>
      </c>
      <c r="E189" s="77"/>
    </row>
    <row r="190" spans="1:5" ht="37.5" hidden="1" x14ac:dyDescent="0.3">
      <c r="A190" s="138" t="s">
        <v>425</v>
      </c>
      <c r="B190" s="11" t="s">
        <v>920</v>
      </c>
      <c r="C190" s="12" t="s">
        <v>59</v>
      </c>
      <c r="D190" s="68">
        <f>'В-25'!G439</f>
        <v>0</v>
      </c>
      <c r="E190" s="77"/>
    </row>
    <row r="191" spans="1:5" ht="39" x14ac:dyDescent="0.35">
      <c r="A191" s="156" t="s">
        <v>141</v>
      </c>
      <c r="B191" s="59" t="s">
        <v>79</v>
      </c>
      <c r="C191" s="60" t="s">
        <v>50</v>
      </c>
      <c r="D191" s="190">
        <f>D197+D211+D229+D207+D205+D192+D216+D218+D235</f>
        <v>5005.081000000001</v>
      </c>
      <c r="E191" s="77"/>
    </row>
    <row r="192" spans="1:5" ht="37.5" x14ac:dyDescent="0.3">
      <c r="A192" s="151" t="s">
        <v>1161</v>
      </c>
      <c r="B192" s="12" t="s">
        <v>1159</v>
      </c>
      <c r="C192" s="12" t="s">
        <v>50</v>
      </c>
      <c r="D192" s="68">
        <f>D193</f>
        <v>1530.8000000000002</v>
      </c>
      <c r="E192" s="77"/>
    </row>
    <row r="193" spans="1:5" ht="37.5" hidden="1" x14ac:dyDescent="0.3">
      <c r="A193" s="138" t="s">
        <v>692</v>
      </c>
      <c r="B193" s="12" t="s">
        <v>693</v>
      </c>
      <c r="C193" s="12" t="s">
        <v>50</v>
      </c>
      <c r="D193" s="68">
        <f>D194</f>
        <v>1530.8000000000002</v>
      </c>
      <c r="E193" s="77"/>
    </row>
    <row r="194" spans="1:5" ht="75" x14ac:dyDescent="0.3">
      <c r="A194" s="138" t="s">
        <v>694</v>
      </c>
      <c r="B194" s="12" t="s">
        <v>1160</v>
      </c>
      <c r="C194" s="12" t="s">
        <v>50</v>
      </c>
      <c r="D194" s="68">
        <f>D195+D196</f>
        <v>1530.8000000000002</v>
      </c>
      <c r="E194" s="77"/>
    </row>
    <row r="195" spans="1:5" ht="75" x14ac:dyDescent="0.3">
      <c r="A195" s="138" t="s">
        <v>56</v>
      </c>
      <c r="B195" s="12" t="s">
        <v>1160</v>
      </c>
      <c r="C195" s="12" t="s">
        <v>57</v>
      </c>
      <c r="D195" s="68">
        <f>'В-25'!G169</f>
        <v>1275.6500000000001</v>
      </c>
      <c r="E195" s="77"/>
    </row>
    <row r="196" spans="1:5" ht="37.5" x14ac:dyDescent="0.3">
      <c r="A196" s="138" t="s">
        <v>264</v>
      </c>
      <c r="B196" s="12" t="s">
        <v>1160</v>
      </c>
      <c r="C196" s="12" t="s">
        <v>261</v>
      </c>
      <c r="D196" s="68">
        <f>'В-25'!G170</f>
        <v>255.15</v>
      </c>
      <c r="E196" s="77"/>
    </row>
    <row r="197" spans="1:5" ht="36.75" customHeight="1" x14ac:dyDescent="0.3">
      <c r="A197" s="138" t="s">
        <v>52</v>
      </c>
      <c r="B197" s="12" t="s">
        <v>162</v>
      </c>
      <c r="C197" s="12" t="s">
        <v>50</v>
      </c>
      <c r="D197" s="68">
        <f>D198+D209+D202</f>
        <v>3474.2810000000009</v>
      </c>
      <c r="E197" s="77"/>
    </row>
    <row r="198" spans="1:5" ht="18.75" x14ac:dyDescent="0.3">
      <c r="A198" s="138" t="s">
        <v>82</v>
      </c>
      <c r="B198" s="12" t="s">
        <v>163</v>
      </c>
      <c r="C198" s="12" t="s">
        <v>50</v>
      </c>
      <c r="D198" s="68">
        <f>D199+D200+D220+D204+D201</f>
        <v>3332.4810000000007</v>
      </c>
      <c r="E198" s="77"/>
    </row>
    <row r="199" spans="1:5" ht="75" x14ac:dyDescent="0.3">
      <c r="A199" s="138" t="s">
        <v>56</v>
      </c>
      <c r="B199" s="12" t="s">
        <v>163</v>
      </c>
      <c r="C199" s="12" t="s">
        <v>57</v>
      </c>
      <c r="D199" s="68">
        <f>'В-25'!G258</f>
        <v>2826.4</v>
      </c>
      <c r="E199" s="77"/>
    </row>
    <row r="200" spans="1:5" ht="37.5" x14ac:dyDescent="0.3">
      <c r="A200" s="138" t="s">
        <v>425</v>
      </c>
      <c r="B200" s="12" t="s">
        <v>163</v>
      </c>
      <c r="C200" s="12" t="s">
        <v>59</v>
      </c>
      <c r="D200" s="68">
        <f>'В-25'!G259</f>
        <v>410.70000000000005</v>
      </c>
      <c r="E200" s="77"/>
    </row>
    <row r="201" spans="1:5" ht="18.75" x14ac:dyDescent="0.3">
      <c r="A201" s="138" t="s">
        <v>60</v>
      </c>
      <c r="B201" s="12" t="s">
        <v>163</v>
      </c>
      <c r="C201" s="12" t="s">
        <v>61</v>
      </c>
      <c r="D201" s="68">
        <f>'В-25'!G260</f>
        <v>71.8</v>
      </c>
      <c r="E201" s="77"/>
    </row>
    <row r="202" spans="1:5" ht="37.5" x14ac:dyDescent="0.3">
      <c r="A202" s="157" t="s">
        <v>374</v>
      </c>
      <c r="B202" s="12" t="s">
        <v>507</v>
      </c>
      <c r="C202" s="12" t="s">
        <v>50</v>
      </c>
      <c r="D202" s="68">
        <f>D203</f>
        <v>141.80000000000001</v>
      </c>
      <c r="E202" s="77"/>
    </row>
    <row r="203" spans="1:5" ht="75" x14ac:dyDescent="0.3">
      <c r="A203" s="138" t="s">
        <v>56</v>
      </c>
      <c r="B203" s="12" t="s">
        <v>507</v>
      </c>
      <c r="C203" s="12" t="s">
        <v>57</v>
      </c>
      <c r="D203" s="68">
        <f>'В-25'!G262</f>
        <v>141.80000000000001</v>
      </c>
      <c r="E203" s="77"/>
    </row>
    <row r="204" spans="1:5" ht="18.75" x14ac:dyDescent="0.3">
      <c r="A204" s="138" t="s">
        <v>60</v>
      </c>
      <c r="B204" s="12" t="s">
        <v>507</v>
      </c>
      <c r="C204" s="12" t="s">
        <v>61</v>
      </c>
      <c r="D204" s="68">
        <f>'В-25'!G263</f>
        <v>23.581</v>
      </c>
      <c r="E204" s="77"/>
    </row>
    <row r="205" spans="1:5" ht="18.75" x14ac:dyDescent="0.3">
      <c r="A205" s="138" t="s">
        <v>164</v>
      </c>
      <c r="B205" s="12" t="s">
        <v>1144</v>
      </c>
      <c r="C205" s="12" t="s">
        <v>50</v>
      </c>
      <c r="D205" s="68">
        <f>D206</f>
        <v>0</v>
      </c>
      <c r="E205" s="77"/>
    </row>
    <row r="206" spans="1:5" ht="37.5" x14ac:dyDescent="0.3">
      <c r="A206" s="138" t="s">
        <v>425</v>
      </c>
      <c r="B206" s="12" t="s">
        <v>1144</v>
      </c>
      <c r="C206" s="12" t="s">
        <v>59</v>
      </c>
      <c r="D206" s="68">
        <f>'В-25'!G266</f>
        <v>0</v>
      </c>
      <c r="E206" s="77"/>
    </row>
    <row r="207" spans="1:5" ht="18.75" hidden="1" x14ac:dyDescent="0.3">
      <c r="A207" s="138" t="s">
        <v>311</v>
      </c>
      <c r="B207" s="12" t="s">
        <v>530</v>
      </c>
      <c r="C207" s="12" t="s">
        <v>50</v>
      </c>
      <c r="D207" s="68">
        <f>D208</f>
        <v>0</v>
      </c>
      <c r="E207" s="77"/>
    </row>
    <row r="208" spans="1:5" ht="37.5" hidden="1" x14ac:dyDescent="0.3">
      <c r="A208" s="138" t="s">
        <v>425</v>
      </c>
      <c r="B208" s="12" t="s">
        <v>530</v>
      </c>
      <c r="C208" s="12" t="s">
        <v>59</v>
      </c>
      <c r="D208" s="68">
        <f>'В-25'!G1266</f>
        <v>0</v>
      </c>
      <c r="E208" s="77"/>
    </row>
    <row r="209" spans="1:5" ht="37.5" hidden="1" x14ac:dyDescent="0.3">
      <c r="A209" s="157" t="s">
        <v>374</v>
      </c>
      <c r="B209" s="12" t="s">
        <v>507</v>
      </c>
      <c r="C209" s="12" t="s">
        <v>50</v>
      </c>
      <c r="D209" s="68">
        <f>D210</f>
        <v>0</v>
      </c>
      <c r="E209" s="77"/>
    </row>
    <row r="210" spans="1:5" ht="75" hidden="1" x14ac:dyDescent="0.3">
      <c r="A210" s="138" t="s">
        <v>56</v>
      </c>
      <c r="B210" s="12" t="s">
        <v>507</v>
      </c>
      <c r="C210" s="12" t="s">
        <v>57</v>
      </c>
      <c r="D210" s="68">
        <f>'[2]В-21'!G149</f>
        <v>0</v>
      </c>
      <c r="E210" s="77"/>
    </row>
    <row r="211" spans="1:5" ht="18.75" hidden="1" x14ac:dyDescent="0.3">
      <c r="A211" s="138" t="s">
        <v>62</v>
      </c>
      <c r="B211" s="12" t="s">
        <v>80</v>
      </c>
      <c r="C211" s="12" t="s">
        <v>50</v>
      </c>
      <c r="D211" s="68">
        <f>D212+D214</f>
        <v>0</v>
      </c>
      <c r="E211" s="77"/>
    </row>
    <row r="212" spans="1:5" ht="18.75" hidden="1" outlineLevel="1" x14ac:dyDescent="0.3">
      <c r="A212" s="138" t="s">
        <v>164</v>
      </c>
      <c r="B212" s="12" t="s">
        <v>165</v>
      </c>
      <c r="C212" s="12" t="s">
        <v>50</v>
      </c>
      <c r="D212" s="68">
        <f>D213</f>
        <v>0</v>
      </c>
      <c r="E212" s="77"/>
    </row>
    <row r="213" spans="1:5" ht="37.5" hidden="1" outlineLevel="1" x14ac:dyDescent="0.3">
      <c r="A213" s="138" t="s">
        <v>425</v>
      </c>
      <c r="B213" s="12" t="s">
        <v>165</v>
      </c>
      <c r="C213" s="12" t="s">
        <v>59</v>
      </c>
      <c r="D213" s="68">
        <f>'[2]В-21'!G152</f>
        <v>0</v>
      </c>
      <c r="E213" s="77"/>
    </row>
    <row r="214" spans="1:5" ht="37.5" hidden="1" x14ac:dyDescent="0.3">
      <c r="A214" s="138" t="s">
        <v>468</v>
      </c>
      <c r="B214" s="13" t="s">
        <v>467</v>
      </c>
      <c r="C214" s="13" t="s">
        <v>50</v>
      </c>
      <c r="D214" s="68">
        <f>D215</f>
        <v>0</v>
      </c>
      <c r="E214" s="77"/>
    </row>
    <row r="215" spans="1:5" ht="37.5" hidden="1" x14ac:dyDescent="0.3">
      <c r="A215" s="138" t="s">
        <v>425</v>
      </c>
      <c r="B215" s="13" t="s">
        <v>467</v>
      </c>
      <c r="C215" s="13" t="s">
        <v>59</v>
      </c>
      <c r="D215" s="68">
        <f>'[2]В-21'!G584</f>
        <v>0</v>
      </c>
      <c r="E215" s="77"/>
    </row>
    <row r="216" spans="1:5" ht="18.75" hidden="1" x14ac:dyDescent="0.3">
      <c r="A216" s="138" t="s">
        <v>311</v>
      </c>
      <c r="B216" s="12" t="s">
        <v>530</v>
      </c>
      <c r="C216" s="12" t="s">
        <v>50</v>
      </c>
      <c r="D216" s="68">
        <f>D217</f>
        <v>0</v>
      </c>
      <c r="E216" s="77"/>
    </row>
    <row r="217" spans="1:5" ht="37.5" hidden="1" x14ac:dyDescent="0.3">
      <c r="A217" s="138" t="s">
        <v>425</v>
      </c>
      <c r="B217" s="12" t="s">
        <v>530</v>
      </c>
      <c r="C217" s="12" t="s">
        <v>59</v>
      </c>
      <c r="D217" s="68">
        <f>'В-25'!G278+'В-25'!G1266</f>
        <v>0</v>
      </c>
      <c r="E217" s="77"/>
    </row>
    <row r="218" spans="1:5" ht="18.75" hidden="1" x14ac:dyDescent="0.3">
      <c r="A218" s="158" t="s">
        <v>64</v>
      </c>
      <c r="B218" s="12" t="s">
        <v>777</v>
      </c>
      <c r="C218" s="12" t="s">
        <v>50</v>
      </c>
      <c r="D218" s="68">
        <f>D219</f>
        <v>0</v>
      </c>
      <c r="E218" s="77"/>
    </row>
    <row r="219" spans="1:5" ht="37.5" hidden="1" x14ac:dyDescent="0.3">
      <c r="A219" s="138" t="s">
        <v>425</v>
      </c>
      <c r="B219" s="12" t="s">
        <v>777</v>
      </c>
      <c r="C219" s="12" t="s">
        <v>59</v>
      </c>
      <c r="D219" s="68">
        <f>'В-25'!G280</f>
        <v>0</v>
      </c>
      <c r="E219" s="77"/>
    </row>
    <row r="220" spans="1:5" ht="18.75" hidden="1" x14ac:dyDescent="0.3">
      <c r="A220" s="138" t="s">
        <v>60</v>
      </c>
      <c r="B220" s="12" t="s">
        <v>163</v>
      </c>
      <c r="C220" s="12" t="s">
        <v>61</v>
      </c>
      <c r="D220" s="68">
        <f>'В-25'!G281</f>
        <v>0</v>
      </c>
      <c r="E220" s="77"/>
    </row>
    <row r="221" spans="1:5" ht="19.5" hidden="1" outlineLevel="1" x14ac:dyDescent="0.35">
      <c r="A221" s="163" t="s">
        <v>83</v>
      </c>
      <c r="B221" s="59" t="s">
        <v>84</v>
      </c>
      <c r="C221" s="60" t="s">
        <v>50</v>
      </c>
      <c r="D221" s="190">
        <f>D222+D226+D233</f>
        <v>0</v>
      </c>
      <c r="E221" s="77"/>
    </row>
    <row r="222" spans="1:5" ht="56.25" hidden="1" outlineLevel="1" x14ac:dyDescent="0.3">
      <c r="A222" s="138" t="s">
        <v>249</v>
      </c>
      <c r="B222" s="12" t="s">
        <v>300</v>
      </c>
      <c r="C222" s="12" t="s">
        <v>50</v>
      </c>
      <c r="D222" s="68">
        <f>D223</f>
        <v>0</v>
      </c>
      <c r="E222" s="77"/>
    </row>
    <row r="223" spans="1:5" ht="37.5" hidden="1" outlineLevel="1" x14ac:dyDescent="0.3">
      <c r="A223" s="138" t="s">
        <v>301</v>
      </c>
      <c r="B223" s="12" t="s">
        <v>302</v>
      </c>
      <c r="C223" s="12" t="s">
        <v>50</v>
      </c>
      <c r="D223" s="68">
        <f>D224+D225</f>
        <v>0</v>
      </c>
      <c r="E223" s="77"/>
    </row>
    <row r="224" spans="1:5" ht="18.75" hidden="1" outlineLevel="1" x14ac:dyDescent="0.3">
      <c r="A224" s="138" t="s">
        <v>58</v>
      </c>
      <c r="B224" s="12" t="s">
        <v>302</v>
      </c>
      <c r="C224" s="12" t="s">
        <v>59</v>
      </c>
      <c r="D224" s="68">
        <f>'[2]В-21'!G156</f>
        <v>0</v>
      </c>
      <c r="E224" s="77"/>
    </row>
    <row r="225" spans="1:5" ht="37.5" hidden="1" outlineLevel="1" x14ac:dyDescent="0.3">
      <c r="A225" s="138" t="s">
        <v>264</v>
      </c>
      <c r="B225" s="12" t="s">
        <v>302</v>
      </c>
      <c r="C225" s="12" t="s">
        <v>261</v>
      </c>
      <c r="D225" s="68"/>
      <c r="E225" s="77"/>
    </row>
    <row r="226" spans="1:5" ht="37.5" hidden="1" outlineLevel="1" x14ac:dyDescent="0.3">
      <c r="A226" s="138" t="s">
        <v>301</v>
      </c>
      <c r="B226" s="12" t="s">
        <v>303</v>
      </c>
      <c r="C226" s="12" t="s">
        <v>50</v>
      </c>
      <c r="D226" s="68">
        <f>D227+D228</f>
        <v>0</v>
      </c>
      <c r="E226" s="77"/>
    </row>
    <row r="227" spans="1:5" ht="18.75" hidden="1" outlineLevel="1" x14ac:dyDescent="0.3">
      <c r="A227" s="138" t="s">
        <v>58</v>
      </c>
      <c r="B227" s="12" t="s">
        <v>303</v>
      </c>
      <c r="C227" s="12" t="s">
        <v>59</v>
      </c>
      <c r="D227" s="68">
        <f>'[2]В-21'!G158</f>
        <v>0</v>
      </c>
      <c r="E227" s="77"/>
    </row>
    <row r="228" spans="1:5" ht="37.5" hidden="1" outlineLevel="1" x14ac:dyDescent="0.3">
      <c r="A228" s="138" t="s">
        <v>264</v>
      </c>
      <c r="B228" s="12" t="s">
        <v>303</v>
      </c>
      <c r="C228" s="12" t="s">
        <v>261</v>
      </c>
      <c r="D228" s="68"/>
      <c r="E228" s="77"/>
    </row>
    <row r="229" spans="1:5" ht="24.75" hidden="1" customHeight="1" x14ac:dyDescent="0.3">
      <c r="A229" s="138" t="s">
        <v>419</v>
      </c>
      <c r="B229" s="13" t="s">
        <v>420</v>
      </c>
      <c r="C229" s="13" t="s">
        <v>50</v>
      </c>
      <c r="D229" s="68">
        <f>D230</f>
        <v>0</v>
      </c>
      <c r="E229" s="77"/>
    </row>
    <row r="230" spans="1:5" ht="37.5" hidden="1" x14ac:dyDescent="0.3">
      <c r="A230" s="138" t="s">
        <v>425</v>
      </c>
      <c r="B230" s="13" t="s">
        <v>420</v>
      </c>
      <c r="C230" s="12" t="s">
        <v>59</v>
      </c>
      <c r="D230" s="68">
        <f>'[2]В-21'!G586</f>
        <v>0</v>
      </c>
      <c r="E230" s="77"/>
    </row>
    <row r="231" spans="1:5" ht="18.75" hidden="1" x14ac:dyDescent="0.3">
      <c r="A231" s="236" t="s">
        <v>697</v>
      </c>
      <c r="B231" s="12" t="s">
        <v>812</v>
      </c>
      <c r="C231" s="12" t="s">
        <v>50</v>
      </c>
      <c r="D231" s="68">
        <f>D232</f>
        <v>0</v>
      </c>
      <c r="E231" s="77"/>
    </row>
    <row r="232" spans="1:5" ht="18.75" hidden="1" x14ac:dyDescent="0.3">
      <c r="A232" s="236" t="s">
        <v>556</v>
      </c>
      <c r="B232" s="12" t="s">
        <v>813</v>
      </c>
      <c r="C232" s="12" t="s">
        <v>50</v>
      </c>
      <c r="D232" s="68">
        <f>D233</f>
        <v>0</v>
      </c>
      <c r="E232" s="77"/>
    </row>
    <row r="233" spans="1:5" ht="18.75" hidden="1" x14ac:dyDescent="0.3">
      <c r="A233" s="138" t="s">
        <v>387</v>
      </c>
      <c r="B233" s="12" t="s">
        <v>867</v>
      </c>
      <c r="C233" s="12" t="s">
        <v>50</v>
      </c>
      <c r="D233" s="68">
        <f>D234</f>
        <v>0</v>
      </c>
      <c r="E233" s="77"/>
    </row>
    <row r="234" spans="1:5" ht="37.5" hidden="1" x14ac:dyDescent="0.3">
      <c r="A234" s="138" t="s">
        <v>264</v>
      </c>
      <c r="B234" s="12" t="s">
        <v>867</v>
      </c>
      <c r="C234" s="12" t="s">
        <v>261</v>
      </c>
      <c r="D234" s="68">
        <v>0</v>
      </c>
      <c r="E234" s="77"/>
    </row>
    <row r="235" spans="1:5" ht="18.75" hidden="1" x14ac:dyDescent="0.3">
      <c r="A235" s="138" t="s">
        <v>64</v>
      </c>
      <c r="B235" s="12" t="s">
        <v>777</v>
      </c>
      <c r="C235" s="12" t="s">
        <v>50</v>
      </c>
      <c r="D235" s="68">
        <f>D236</f>
        <v>0</v>
      </c>
      <c r="E235" s="77"/>
    </row>
    <row r="236" spans="1:5" ht="37.5" hidden="1" x14ac:dyDescent="0.3">
      <c r="A236" s="138" t="s">
        <v>425</v>
      </c>
      <c r="B236" s="12" t="s">
        <v>777</v>
      </c>
      <c r="C236" s="12" t="s">
        <v>59</v>
      </c>
      <c r="D236" s="68">
        <f>'В-25'!G283</f>
        <v>0</v>
      </c>
      <c r="E236" s="77"/>
    </row>
    <row r="237" spans="1:5" ht="41.25" customHeight="1" x14ac:dyDescent="0.3">
      <c r="A237" s="164" t="s">
        <v>158</v>
      </c>
      <c r="B237" s="19" t="s">
        <v>85</v>
      </c>
      <c r="C237" s="7" t="s">
        <v>50</v>
      </c>
      <c r="D237" s="189">
        <f>D238+D246+D262+D270+D282</f>
        <v>85068.480079999979</v>
      </c>
      <c r="E237" s="77"/>
    </row>
    <row r="238" spans="1:5" ht="58.5" x14ac:dyDescent="0.35">
      <c r="A238" s="156" t="s">
        <v>815</v>
      </c>
      <c r="B238" s="59" t="s">
        <v>86</v>
      </c>
      <c r="C238" s="60" t="s">
        <v>50</v>
      </c>
      <c r="D238" s="190">
        <f>D239</f>
        <v>18534.3</v>
      </c>
      <c r="E238" s="77"/>
    </row>
    <row r="239" spans="1:5" ht="39" customHeight="1" x14ac:dyDescent="0.3">
      <c r="A239" s="138" t="s">
        <v>52</v>
      </c>
      <c r="B239" s="12" t="s">
        <v>305</v>
      </c>
      <c r="C239" s="12" t="s">
        <v>50</v>
      </c>
      <c r="D239" s="68">
        <f>D240+D242+D244</f>
        <v>18534.3</v>
      </c>
      <c r="E239" s="77"/>
    </row>
    <row r="240" spans="1:5" ht="18.75" x14ac:dyDescent="0.3">
      <c r="A240" s="138" t="s">
        <v>304</v>
      </c>
      <c r="B240" s="12" t="s">
        <v>306</v>
      </c>
      <c r="C240" s="12" t="s">
        <v>50</v>
      </c>
      <c r="D240" s="68">
        <f>D241</f>
        <v>16812.2</v>
      </c>
      <c r="E240" s="77"/>
    </row>
    <row r="241" spans="1:5" ht="37.5" x14ac:dyDescent="0.3">
      <c r="A241" s="138" t="s">
        <v>264</v>
      </c>
      <c r="B241" s="12" t="s">
        <v>306</v>
      </c>
      <c r="C241" s="12" t="s">
        <v>261</v>
      </c>
      <c r="D241" s="68">
        <f>'В-25'!G1283+'В-25'!G1443</f>
        <v>16812.2</v>
      </c>
      <c r="E241" s="77"/>
    </row>
    <row r="242" spans="1:5" ht="29.25" hidden="1" customHeight="1" x14ac:dyDescent="0.3">
      <c r="A242" s="157" t="s">
        <v>374</v>
      </c>
      <c r="B242" s="12" t="s">
        <v>430</v>
      </c>
      <c r="C242" s="12" t="s">
        <v>50</v>
      </c>
      <c r="D242" s="68">
        <f>D243</f>
        <v>0</v>
      </c>
      <c r="E242" s="77"/>
    </row>
    <row r="243" spans="1:5" ht="37.5" hidden="1" x14ac:dyDescent="0.3">
      <c r="A243" s="138" t="s">
        <v>264</v>
      </c>
      <c r="B243" s="12" t="s">
        <v>430</v>
      </c>
      <c r="C243" s="12" t="s">
        <v>261</v>
      </c>
      <c r="D243" s="68">
        <v>0</v>
      </c>
      <c r="E243" s="77"/>
    </row>
    <row r="244" spans="1:5" ht="37.5" x14ac:dyDescent="0.3">
      <c r="A244" s="157" t="s">
        <v>374</v>
      </c>
      <c r="B244" s="12" t="s">
        <v>430</v>
      </c>
      <c r="C244" s="12" t="s">
        <v>50</v>
      </c>
      <c r="D244" s="68">
        <f>D245</f>
        <v>1722.1</v>
      </c>
      <c r="E244" s="77"/>
    </row>
    <row r="245" spans="1:5" ht="37.5" x14ac:dyDescent="0.3">
      <c r="A245" s="138" t="s">
        <v>264</v>
      </c>
      <c r="B245" s="12" t="s">
        <v>430</v>
      </c>
      <c r="C245" s="12" t="s">
        <v>261</v>
      </c>
      <c r="D245" s="68">
        <f>'В-25'!G1285</f>
        <v>1722.1</v>
      </c>
      <c r="E245" s="77"/>
    </row>
    <row r="246" spans="1:5" ht="45" customHeight="1" x14ac:dyDescent="0.35">
      <c r="A246" s="156" t="s">
        <v>143</v>
      </c>
      <c r="B246" s="59" t="s">
        <v>87</v>
      </c>
      <c r="C246" s="60" t="s">
        <v>50</v>
      </c>
      <c r="D246" s="190">
        <f>D247+D257</f>
        <v>17656.400000000001</v>
      </c>
      <c r="E246" s="77"/>
    </row>
    <row r="247" spans="1:5" ht="42" customHeight="1" x14ac:dyDescent="0.3">
      <c r="A247" s="138" t="s">
        <v>52</v>
      </c>
      <c r="B247" s="12" t="s">
        <v>196</v>
      </c>
      <c r="C247" s="12" t="s">
        <v>50</v>
      </c>
      <c r="D247" s="68">
        <f>D248+D253+D255</f>
        <v>17567.900000000001</v>
      </c>
      <c r="E247" s="77"/>
    </row>
    <row r="248" spans="1:5" ht="18.75" x14ac:dyDescent="0.3">
      <c r="A248" s="138" t="s">
        <v>195</v>
      </c>
      <c r="B248" s="12" t="s">
        <v>197</v>
      </c>
      <c r="C248" s="12" t="s">
        <v>50</v>
      </c>
      <c r="D248" s="68">
        <f>D249+D250+D252+D251</f>
        <v>16165.7</v>
      </c>
      <c r="E248" s="77"/>
    </row>
    <row r="249" spans="1:5" ht="75" x14ac:dyDescent="0.3">
      <c r="A249" s="138" t="s">
        <v>56</v>
      </c>
      <c r="B249" s="12" t="s">
        <v>197</v>
      </c>
      <c r="C249" s="12" t="s">
        <v>57</v>
      </c>
      <c r="D249" s="68">
        <f>'В-25'!G446</f>
        <v>13883.6</v>
      </c>
      <c r="E249" s="77">
        <f>D249+D250+D252+D259</f>
        <v>16254.2</v>
      </c>
    </row>
    <row r="250" spans="1:5" ht="37.5" x14ac:dyDescent="0.3">
      <c r="A250" s="138" t="s">
        <v>425</v>
      </c>
      <c r="B250" s="12" t="s">
        <v>197</v>
      </c>
      <c r="C250" s="12" t="s">
        <v>59</v>
      </c>
      <c r="D250" s="68">
        <f>'В-25'!G447</f>
        <v>2274.1000000000004</v>
      </c>
      <c r="E250" s="77"/>
    </row>
    <row r="251" spans="1:5" ht="18.75" hidden="1" x14ac:dyDescent="0.3">
      <c r="A251" s="138" t="s">
        <v>175</v>
      </c>
      <c r="B251" s="12" t="s">
        <v>197</v>
      </c>
      <c r="C251" s="12" t="s">
        <v>176</v>
      </c>
      <c r="D251" s="68">
        <f>'В-25'!G448</f>
        <v>0</v>
      </c>
      <c r="E251" s="77"/>
    </row>
    <row r="252" spans="1:5" ht="18.75" x14ac:dyDescent="0.3">
      <c r="A252" s="138" t="s">
        <v>60</v>
      </c>
      <c r="B252" s="12" t="s">
        <v>197</v>
      </c>
      <c r="C252" s="12" t="s">
        <v>61</v>
      </c>
      <c r="D252" s="68">
        <f>'В-25'!G449</f>
        <v>8</v>
      </c>
      <c r="E252" s="77"/>
    </row>
    <row r="253" spans="1:5" ht="29.25" customHeight="1" x14ac:dyDescent="0.3">
      <c r="A253" s="157" t="s">
        <v>374</v>
      </c>
      <c r="B253" s="12" t="s">
        <v>426</v>
      </c>
      <c r="C253" s="12" t="s">
        <v>50</v>
      </c>
      <c r="D253" s="68">
        <f>D254</f>
        <v>1402.2</v>
      </c>
      <c r="E253" s="77"/>
    </row>
    <row r="254" spans="1:5" ht="75" x14ac:dyDescent="0.3">
      <c r="A254" s="138" t="s">
        <v>56</v>
      </c>
      <c r="B254" s="12" t="s">
        <v>426</v>
      </c>
      <c r="C254" s="12" t="s">
        <v>57</v>
      </c>
      <c r="D254" s="68">
        <f>'В-25'!G451</f>
        <v>1402.2</v>
      </c>
      <c r="E254" s="77"/>
    </row>
    <row r="255" spans="1:5" ht="37.5" hidden="1" x14ac:dyDescent="0.3">
      <c r="A255" s="157" t="s">
        <v>378</v>
      </c>
      <c r="B255" s="12" t="s">
        <v>427</v>
      </c>
      <c r="C255" s="12" t="s">
        <v>50</v>
      </c>
      <c r="D255" s="68">
        <f>D256</f>
        <v>0</v>
      </c>
      <c r="E255" s="77"/>
    </row>
    <row r="256" spans="1:5" ht="75" hidden="1" x14ac:dyDescent="0.3">
      <c r="A256" s="138" t="s">
        <v>56</v>
      </c>
      <c r="B256" s="12" t="s">
        <v>427</v>
      </c>
      <c r="C256" s="12" t="s">
        <v>57</v>
      </c>
      <c r="D256" s="68">
        <f>'[2]В-21'!G294</f>
        <v>0</v>
      </c>
      <c r="E256" s="77"/>
    </row>
    <row r="257" spans="1:5" ht="18.75" x14ac:dyDescent="0.3">
      <c r="A257" s="138" t="s">
        <v>62</v>
      </c>
      <c r="B257" s="12" t="s">
        <v>198</v>
      </c>
      <c r="C257" s="12" t="s">
        <v>50</v>
      </c>
      <c r="D257" s="68">
        <f>D258+D260</f>
        <v>88.5</v>
      </c>
      <c r="E257" s="77"/>
    </row>
    <row r="258" spans="1:5" ht="18.75" x14ac:dyDescent="0.3">
      <c r="A258" s="138" t="s">
        <v>75</v>
      </c>
      <c r="B258" s="12" t="s">
        <v>199</v>
      </c>
      <c r="C258" s="12" t="s">
        <v>50</v>
      </c>
      <c r="D258" s="68">
        <f>D259</f>
        <v>88.5</v>
      </c>
      <c r="E258" s="77"/>
    </row>
    <row r="259" spans="1:5" ht="37.5" x14ac:dyDescent="0.3">
      <c r="A259" s="138" t="s">
        <v>425</v>
      </c>
      <c r="B259" s="12" t="s">
        <v>199</v>
      </c>
      <c r="C259" s="12" t="s">
        <v>59</v>
      </c>
      <c r="D259" s="68">
        <f>'В-25'!G456</f>
        <v>88.5</v>
      </c>
      <c r="E259" s="77"/>
    </row>
    <row r="260" spans="1:5" ht="18.75" hidden="1" outlineLevel="1" x14ac:dyDescent="0.3">
      <c r="A260" s="138" t="s">
        <v>64</v>
      </c>
      <c r="B260" s="12" t="s">
        <v>200</v>
      </c>
      <c r="C260" s="12" t="s">
        <v>50</v>
      </c>
      <c r="D260" s="68">
        <f>D261</f>
        <v>0</v>
      </c>
      <c r="E260" s="77"/>
    </row>
    <row r="261" spans="1:5" ht="18.75" hidden="1" outlineLevel="1" x14ac:dyDescent="0.3">
      <c r="A261" s="138" t="s">
        <v>58</v>
      </c>
      <c r="B261" s="12" t="s">
        <v>200</v>
      </c>
      <c r="C261" s="12" t="s">
        <v>59</v>
      </c>
      <c r="D261" s="68">
        <f>'[2]В-21'!G299</f>
        <v>0</v>
      </c>
      <c r="E261" s="77"/>
    </row>
    <row r="262" spans="1:5" ht="39" collapsed="1" x14ac:dyDescent="0.35">
      <c r="A262" s="156" t="s">
        <v>144</v>
      </c>
      <c r="B262" s="59" t="s">
        <v>88</v>
      </c>
      <c r="C262" s="60" t="s">
        <v>50</v>
      </c>
      <c r="D262" s="190">
        <f>D263</f>
        <v>35607.1</v>
      </c>
      <c r="E262" s="77"/>
    </row>
    <row r="263" spans="1:5" ht="37.5" x14ac:dyDescent="0.3">
      <c r="A263" s="138" t="s">
        <v>52</v>
      </c>
      <c r="B263" s="12" t="s">
        <v>308</v>
      </c>
      <c r="C263" s="12" t="s">
        <v>50</v>
      </c>
      <c r="D263" s="68">
        <f>D264+D266++D268</f>
        <v>35607.1</v>
      </c>
      <c r="E263" s="77"/>
    </row>
    <row r="264" spans="1:5" ht="18.75" x14ac:dyDescent="0.3">
      <c r="A264" s="138" t="s">
        <v>307</v>
      </c>
      <c r="B264" s="12" t="s">
        <v>309</v>
      </c>
      <c r="C264" s="12" t="s">
        <v>50</v>
      </c>
      <c r="D264" s="68">
        <f>D265</f>
        <v>31055.399999999998</v>
      </c>
      <c r="E264" s="77"/>
    </row>
    <row r="265" spans="1:5" ht="37.5" x14ac:dyDescent="0.3">
      <c r="A265" s="138" t="s">
        <v>264</v>
      </c>
      <c r="B265" s="12" t="s">
        <v>309</v>
      </c>
      <c r="C265" s="12" t="s">
        <v>261</v>
      </c>
      <c r="D265" s="68">
        <f>'В-25'!G1289</f>
        <v>31055.399999999998</v>
      </c>
      <c r="E265" s="77"/>
    </row>
    <row r="266" spans="1:5" ht="37.5" x14ac:dyDescent="0.3">
      <c r="A266" s="157" t="s">
        <v>374</v>
      </c>
      <c r="B266" s="12" t="s">
        <v>375</v>
      </c>
      <c r="C266" s="12" t="s">
        <v>50</v>
      </c>
      <c r="D266" s="68">
        <f>D267</f>
        <v>4551.7</v>
      </c>
      <c r="E266" s="77"/>
    </row>
    <row r="267" spans="1:5" ht="37.5" x14ac:dyDescent="0.3">
      <c r="A267" s="138" t="s">
        <v>264</v>
      </c>
      <c r="B267" s="12" t="s">
        <v>375</v>
      </c>
      <c r="C267" s="12" t="s">
        <v>261</v>
      </c>
      <c r="D267" s="68">
        <f>'В-25'!G1291</f>
        <v>4551.7</v>
      </c>
      <c r="E267" s="77"/>
    </row>
    <row r="268" spans="1:5" ht="37.5" hidden="1" x14ac:dyDescent="0.3">
      <c r="A268" s="157" t="s">
        <v>378</v>
      </c>
      <c r="B268" s="12" t="s">
        <v>432</v>
      </c>
      <c r="C268" s="12" t="s">
        <v>50</v>
      </c>
      <c r="D268" s="68">
        <f>D269</f>
        <v>0</v>
      </c>
      <c r="E268" s="77"/>
    </row>
    <row r="269" spans="1:5" ht="37.5" hidden="1" x14ac:dyDescent="0.3">
      <c r="A269" s="138" t="s">
        <v>264</v>
      </c>
      <c r="B269" s="12" t="s">
        <v>432</v>
      </c>
      <c r="C269" s="12" t="s">
        <v>261</v>
      </c>
      <c r="D269" s="68">
        <v>0</v>
      </c>
      <c r="E269" s="77"/>
    </row>
    <row r="270" spans="1:5" ht="39" x14ac:dyDescent="0.35">
      <c r="A270" s="162" t="s">
        <v>145</v>
      </c>
      <c r="B270" s="59" t="s">
        <v>89</v>
      </c>
      <c r="C270" s="60" t="s">
        <v>50</v>
      </c>
      <c r="D270" s="190">
        <f>D271+D279</f>
        <v>6027.3400799999999</v>
      </c>
      <c r="E270" s="77"/>
    </row>
    <row r="271" spans="1:5" ht="37.5" x14ac:dyDescent="0.3">
      <c r="A271" s="138" t="s">
        <v>52</v>
      </c>
      <c r="B271" s="12" t="s">
        <v>216</v>
      </c>
      <c r="C271" s="12" t="s">
        <v>50</v>
      </c>
      <c r="D271" s="68">
        <f>D272+D275+D277</f>
        <v>5830.3400799999999</v>
      </c>
      <c r="E271" s="77"/>
    </row>
    <row r="272" spans="1:5" ht="18.75" x14ac:dyDescent="0.3">
      <c r="A272" s="138" t="s">
        <v>215</v>
      </c>
      <c r="B272" s="12" t="s">
        <v>217</v>
      </c>
      <c r="C272" s="12" t="s">
        <v>50</v>
      </c>
      <c r="D272" s="68">
        <f>D273+D274</f>
        <v>5361.9400800000003</v>
      </c>
      <c r="E272" s="77"/>
    </row>
    <row r="273" spans="1:5" ht="75" x14ac:dyDescent="0.3">
      <c r="A273" s="138" t="s">
        <v>56</v>
      </c>
      <c r="B273" s="12" t="s">
        <v>217</v>
      </c>
      <c r="C273" s="12" t="s">
        <v>57</v>
      </c>
      <c r="D273" s="68">
        <f>'В-25'!G552</f>
        <v>4520.8</v>
      </c>
      <c r="E273" s="77"/>
    </row>
    <row r="274" spans="1:5" ht="37.5" x14ac:dyDescent="0.3">
      <c r="A274" s="138" t="s">
        <v>425</v>
      </c>
      <c r="B274" s="12" t="s">
        <v>217</v>
      </c>
      <c r="C274" s="12" t="s">
        <v>59</v>
      </c>
      <c r="D274" s="68">
        <f>'В-25'!G553</f>
        <v>841.14008000000001</v>
      </c>
      <c r="E274" s="77"/>
    </row>
    <row r="275" spans="1:5" ht="39.75" customHeight="1" x14ac:dyDescent="0.3">
      <c r="A275" s="157" t="s">
        <v>374</v>
      </c>
      <c r="B275" s="12" t="s">
        <v>428</v>
      </c>
      <c r="C275" s="12" t="s">
        <v>50</v>
      </c>
      <c r="D275" s="68">
        <f>D276</f>
        <v>468.40000000000003</v>
      </c>
      <c r="E275" s="77"/>
    </row>
    <row r="276" spans="1:5" ht="75" x14ac:dyDescent="0.3">
      <c r="A276" s="138" t="s">
        <v>56</v>
      </c>
      <c r="B276" s="12" t="s">
        <v>428</v>
      </c>
      <c r="C276" s="12" t="s">
        <v>57</v>
      </c>
      <c r="D276" s="68">
        <f>'В-25'!G555</f>
        <v>468.40000000000003</v>
      </c>
      <c r="E276" s="77">
        <f>D276+D281</f>
        <v>665.40000000000009</v>
      </c>
    </row>
    <row r="277" spans="1:5" ht="37.5" hidden="1" x14ac:dyDescent="0.3">
      <c r="A277" s="157" t="s">
        <v>378</v>
      </c>
      <c r="B277" s="12" t="s">
        <v>429</v>
      </c>
      <c r="C277" s="12" t="s">
        <v>50</v>
      </c>
      <c r="D277" s="68">
        <f>D278</f>
        <v>0</v>
      </c>
      <c r="E277" s="77"/>
    </row>
    <row r="278" spans="1:5" ht="75" hidden="1" x14ac:dyDescent="0.3">
      <c r="A278" s="138" t="s">
        <v>56</v>
      </c>
      <c r="B278" s="12" t="s">
        <v>429</v>
      </c>
      <c r="C278" s="12" t="s">
        <v>57</v>
      </c>
      <c r="D278" s="68">
        <f>'[2]В-21'!G375</f>
        <v>0</v>
      </c>
      <c r="E278" s="77"/>
    </row>
    <row r="279" spans="1:5" ht="56.25" x14ac:dyDescent="0.3">
      <c r="A279" s="138" t="s">
        <v>173</v>
      </c>
      <c r="B279" s="12" t="s">
        <v>843</v>
      </c>
      <c r="C279" s="12" t="s">
        <v>50</v>
      </c>
      <c r="D279" s="68">
        <f>D280</f>
        <v>197</v>
      </c>
      <c r="E279" s="77"/>
    </row>
    <row r="280" spans="1:5" ht="68.25" customHeight="1" x14ac:dyDescent="0.3">
      <c r="A280" s="165" t="s">
        <v>533</v>
      </c>
      <c r="B280" s="12" t="s">
        <v>844</v>
      </c>
      <c r="C280" s="12" t="s">
        <v>50</v>
      </c>
      <c r="D280" s="68">
        <f>D281</f>
        <v>197</v>
      </c>
      <c r="E280" s="77"/>
    </row>
    <row r="281" spans="1:5" ht="37.5" x14ac:dyDescent="0.3">
      <c r="A281" s="138" t="s">
        <v>425</v>
      </c>
      <c r="B281" s="12" t="s">
        <v>844</v>
      </c>
      <c r="C281" s="12" t="s">
        <v>59</v>
      </c>
      <c r="D281" s="68">
        <f>'В-25'!G560</f>
        <v>197</v>
      </c>
      <c r="E281" s="77"/>
    </row>
    <row r="282" spans="1:5" ht="19.5" x14ac:dyDescent="0.35">
      <c r="A282" s="166" t="s">
        <v>409</v>
      </c>
      <c r="B282" s="59" t="s">
        <v>90</v>
      </c>
      <c r="C282" s="60" t="s">
        <v>50</v>
      </c>
      <c r="D282" s="190">
        <f>D287+D283+D308+D321+D285+D317+D323+D315+D330+D332+D334+D338+D319</f>
        <v>7243.34</v>
      </c>
      <c r="E282" s="77"/>
    </row>
    <row r="283" spans="1:5" ht="19.5" hidden="1" x14ac:dyDescent="0.35">
      <c r="A283" s="167" t="s">
        <v>555</v>
      </c>
      <c r="B283" s="12" t="s">
        <v>541</v>
      </c>
      <c r="C283" s="12" t="s">
        <v>50</v>
      </c>
      <c r="D283" s="190">
        <f>D284</f>
        <v>0</v>
      </c>
      <c r="E283" s="77"/>
    </row>
    <row r="284" spans="1:5" ht="37.5" hidden="1" x14ac:dyDescent="0.3">
      <c r="A284" s="138" t="s">
        <v>264</v>
      </c>
      <c r="B284" s="12" t="s">
        <v>541</v>
      </c>
      <c r="C284" s="12" t="s">
        <v>261</v>
      </c>
      <c r="D284" s="68">
        <f>'В-25'!G1195</f>
        <v>0</v>
      </c>
      <c r="E284" s="77"/>
    </row>
    <row r="285" spans="1:5" ht="18.75" hidden="1" x14ac:dyDescent="0.3">
      <c r="A285" s="138" t="s">
        <v>689</v>
      </c>
      <c r="B285" s="12" t="s">
        <v>776</v>
      </c>
      <c r="C285" s="12" t="s">
        <v>50</v>
      </c>
      <c r="D285" s="68">
        <f>D286</f>
        <v>0</v>
      </c>
      <c r="E285" s="77"/>
    </row>
    <row r="286" spans="1:5" ht="37.5" hidden="1" x14ac:dyDescent="0.3">
      <c r="A286" s="138" t="s">
        <v>425</v>
      </c>
      <c r="B286" s="12" t="s">
        <v>776</v>
      </c>
      <c r="C286" s="12" t="s">
        <v>59</v>
      </c>
      <c r="D286" s="68">
        <f>'В-25'!G472</f>
        <v>0</v>
      </c>
      <c r="E286" s="77"/>
    </row>
    <row r="287" spans="1:5" ht="18.75" x14ac:dyDescent="0.3">
      <c r="A287" s="138" t="s">
        <v>62</v>
      </c>
      <c r="B287" s="12" t="s">
        <v>310</v>
      </c>
      <c r="C287" s="12" t="s">
        <v>50</v>
      </c>
      <c r="D287" s="68">
        <f>D288+D291+D294+D304+D298+D301+D310+D313</f>
        <v>7117.04</v>
      </c>
      <c r="E287" s="77"/>
    </row>
    <row r="288" spans="1:5" ht="18.75" x14ac:dyDescent="0.3">
      <c r="A288" s="138" t="s">
        <v>311</v>
      </c>
      <c r="B288" s="12" t="s">
        <v>312</v>
      </c>
      <c r="C288" s="12" t="s">
        <v>50</v>
      </c>
      <c r="D288" s="68">
        <f>D290+D289</f>
        <v>6808.44</v>
      </c>
      <c r="E288" s="77"/>
    </row>
    <row r="289" spans="1:5" ht="37.5" x14ac:dyDescent="0.3">
      <c r="A289" s="138" t="s">
        <v>425</v>
      </c>
      <c r="B289" s="12" t="s">
        <v>312</v>
      </c>
      <c r="C289" s="12" t="s">
        <v>59</v>
      </c>
      <c r="D289" s="68">
        <f>'В-25'!G1296</f>
        <v>500</v>
      </c>
      <c r="E289" s="77"/>
    </row>
    <row r="290" spans="1:5" ht="37.5" x14ac:dyDescent="0.3">
      <c r="A290" s="138" t="s">
        <v>264</v>
      </c>
      <c r="B290" s="12" t="s">
        <v>312</v>
      </c>
      <c r="C290" s="12" t="s">
        <v>261</v>
      </c>
      <c r="D290" s="68">
        <f>'В-25'!G1297</f>
        <v>6308.44</v>
      </c>
      <c r="E290" s="77"/>
    </row>
    <row r="291" spans="1:5" ht="56.25" x14ac:dyDescent="0.3">
      <c r="A291" s="138" t="s">
        <v>313</v>
      </c>
      <c r="B291" s="12" t="s">
        <v>314</v>
      </c>
      <c r="C291" s="12" t="s">
        <v>50</v>
      </c>
      <c r="D291" s="68">
        <f>D292+D293</f>
        <v>288.60000000000002</v>
      </c>
      <c r="E291" s="77"/>
    </row>
    <row r="292" spans="1:5" ht="37.5" x14ac:dyDescent="0.3">
      <c r="A292" s="138" t="s">
        <v>264</v>
      </c>
      <c r="B292" s="12" t="s">
        <v>314</v>
      </c>
      <c r="C292" s="12" t="s">
        <v>261</v>
      </c>
      <c r="D292" s="68">
        <f>'В-25'!G1299</f>
        <v>288.60000000000002</v>
      </c>
      <c r="E292" s="77"/>
    </row>
    <row r="293" spans="1:5" ht="37.5" hidden="1" x14ac:dyDescent="0.3">
      <c r="A293" s="138" t="s">
        <v>264</v>
      </c>
      <c r="B293" s="12" t="s">
        <v>314</v>
      </c>
      <c r="C293" s="12" t="s">
        <v>261</v>
      </c>
      <c r="D293" s="68">
        <f>'В-25'!G1325</f>
        <v>0</v>
      </c>
      <c r="E293" s="77"/>
    </row>
    <row r="294" spans="1:5" ht="18.75" x14ac:dyDescent="0.3">
      <c r="A294" s="158" t="s">
        <v>385</v>
      </c>
      <c r="B294" s="42" t="s">
        <v>386</v>
      </c>
      <c r="C294" s="42" t="s">
        <v>50</v>
      </c>
      <c r="D294" s="68">
        <f>D295</f>
        <v>20</v>
      </c>
      <c r="E294" s="77"/>
    </row>
    <row r="295" spans="1:5" ht="37.5" x14ac:dyDescent="0.3">
      <c r="A295" s="138" t="s">
        <v>425</v>
      </c>
      <c r="B295" s="42" t="s">
        <v>386</v>
      </c>
      <c r="C295" s="42" t="s">
        <v>59</v>
      </c>
      <c r="D295" s="68">
        <f>'В-25'!G462</f>
        <v>20</v>
      </c>
      <c r="E295" s="77"/>
    </row>
    <row r="296" spans="1:5" ht="56.25" hidden="1" outlineLevel="1" x14ac:dyDescent="0.3">
      <c r="A296" s="138" t="s">
        <v>405</v>
      </c>
      <c r="B296" s="12" t="s">
        <v>406</v>
      </c>
      <c r="C296" s="12" t="s">
        <v>50</v>
      </c>
      <c r="D296" s="68">
        <v>0</v>
      </c>
      <c r="E296" s="77"/>
    </row>
    <row r="297" spans="1:5" ht="37.5" hidden="1" outlineLevel="1" x14ac:dyDescent="0.3">
      <c r="A297" s="138" t="s">
        <v>264</v>
      </c>
      <c r="B297" s="12" t="s">
        <v>406</v>
      </c>
      <c r="C297" s="12" t="s">
        <v>261</v>
      </c>
      <c r="D297" s="68">
        <v>0</v>
      </c>
      <c r="E297" s="77"/>
    </row>
    <row r="298" spans="1:5" ht="18.75" hidden="1" x14ac:dyDescent="0.3">
      <c r="A298" s="158" t="s">
        <v>435</v>
      </c>
      <c r="B298" s="42" t="s">
        <v>436</v>
      </c>
      <c r="C298" s="42" t="s">
        <v>50</v>
      </c>
      <c r="D298" s="68">
        <f>D299+D300</f>
        <v>0</v>
      </c>
      <c r="E298" s="77"/>
    </row>
    <row r="299" spans="1:5" ht="75" hidden="1" x14ac:dyDescent="0.3">
      <c r="A299" s="158" t="s">
        <v>56</v>
      </c>
      <c r="B299" s="42" t="s">
        <v>436</v>
      </c>
      <c r="C299" s="42" t="s">
        <v>57</v>
      </c>
      <c r="D299" s="68">
        <f>'[2]В-21'!G305</f>
        <v>0</v>
      </c>
      <c r="E299" s="77"/>
    </row>
    <row r="300" spans="1:5" ht="39.75" hidden="1" customHeight="1" x14ac:dyDescent="0.3">
      <c r="A300" s="138" t="s">
        <v>425</v>
      </c>
      <c r="B300" s="42" t="s">
        <v>436</v>
      </c>
      <c r="C300" s="42" t="s">
        <v>59</v>
      </c>
      <c r="D300" s="68">
        <f>'[2]В-21'!G306</f>
        <v>0</v>
      </c>
      <c r="E300" s="77"/>
    </row>
    <row r="301" spans="1:5" ht="39.75" hidden="1" customHeight="1" x14ac:dyDescent="0.3">
      <c r="A301" s="138" t="s">
        <v>484</v>
      </c>
      <c r="B301" s="42" t="s">
        <v>485</v>
      </c>
      <c r="C301" s="42" t="s">
        <v>50</v>
      </c>
      <c r="D301" s="68">
        <f>D302+D303</f>
        <v>0</v>
      </c>
      <c r="E301" s="77"/>
    </row>
    <row r="302" spans="1:5" ht="78" hidden="1" customHeight="1" x14ac:dyDescent="0.3">
      <c r="A302" s="138" t="s">
        <v>56</v>
      </c>
      <c r="B302" s="42" t="s">
        <v>485</v>
      </c>
      <c r="C302" s="42" t="s">
        <v>57</v>
      </c>
      <c r="D302" s="68">
        <f>'[2]В-21'!G308</f>
        <v>0</v>
      </c>
      <c r="E302" s="77"/>
    </row>
    <row r="303" spans="1:5" ht="39.75" hidden="1" customHeight="1" x14ac:dyDescent="0.3">
      <c r="A303" s="138" t="s">
        <v>425</v>
      </c>
      <c r="B303" s="42" t="s">
        <v>485</v>
      </c>
      <c r="C303" s="42" t="s">
        <v>59</v>
      </c>
      <c r="D303" s="68">
        <f>'[2]В-21'!G309</f>
        <v>0</v>
      </c>
      <c r="E303" s="77"/>
    </row>
    <row r="304" spans="1:5" ht="18.75" hidden="1" customHeight="1" x14ac:dyDescent="0.3">
      <c r="A304" s="138" t="s">
        <v>387</v>
      </c>
      <c r="B304" s="12" t="s">
        <v>416</v>
      </c>
      <c r="C304" s="12" t="s">
        <v>50</v>
      </c>
      <c r="D304" s="68">
        <f>D305</f>
        <v>0</v>
      </c>
      <c r="E304" s="77"/>
    </row>
    <row r="305" spans="1:5" ht="37.5" hidden="1" customHeight="1" x14ac:dyDescent="0.3">
      <c r="A305" s="138" t="s">
        <v>425</v>
      </c>
      <c r="B305" s="12" t="s">
        <v>416</v>
      </c>
      <c r="C305" s="12" t="s">
        <v>59</v>
      </c>
      <c r="D305" s="68">
        <f>'[2]В-21'!G311</f>
        <v>0</v>
      </c>
      <c r="E305" s="77"/>
    </row>
    <row r="306" spans="1:5" ht="18.75" hidden="1" customHeight="1" x14ac:dyDescent="0.3">
      <c r="A306" s="138" t="s">
        <v>497</v>
      </c>
      <c r="B306" s="13" t="s">
        <v>498</v>
      </c>
      <c r="C306" s="12" t="s">
        <v>50</v>
      </c>
      <c r="D306" s="68">
        <f>D307</f>
        <v>0</v>
      </c>
      <c r="E306" s="77"/>
    </row>
    <row r="307" spans="1:5" ht="37.5" hidden="1" customHeight="1" x14ac:dyDescent="0.3">
      <c r="A307" s="138" t="s">
        <v>425</v>
      </c>
      <c r="B307" s="13" t="s">
        <v>498</v>
      </c>
      <c r="C307" s="12" t="s">
        <v>59</v>
      </c>
      <c r="D307" s="68">
        <f>'[2]В-21'!G746</f>
        <v>0</v>
      </c>
      <c r="E307" s="77"/>
    </row>
    <row r="308" spans="1:5" ht="30" hidden="1" customHeight="1" x14ac:dyDescent="0.3">
      <c r="A308" s="167" t="s">
        <v>555</v>
      </c>
      <c r="B308" s="12" t="s">
        <v>554</v>
      </c>
      <c r="C308" s="12" t="s">
        <v>50</v>
      </c>
      <c r="D308" s="68">
        <f>D309</f>
        <v>0</v>
      </c>
      <c r="E308" s="77"/>
    </row>
    <row r="309" spans="1:5" ht="37.5" hidden="1" customHeight="1" x14ac:dyDescent="0.3">
      <c r="A309" s="138" t="s">
        <v>264</v>
      </c>
      <c r="B309" s="12" t="s">
        <v>554</v>
      </c>
      <c r="C309" s="12" t="s">
        <v>261</v>
      </c>
      <c r="D309" s="68">
        <f>'В-25'!G1198</f>
        <v>0</v>
      </c>
      <c r="E309" s="77"/>
    </row>
    <row r="310" spans="1:5" ht="37.5" hidden="1" customHeight="1" x14ac:dyDescent="0.3">
      <c r="A310" s="138" t="s">
        <v>484</v>
      </c>
      <c r="B310" s="42" t="s">
        <v>485</v>
      </c>
      <c r="C310" s="12" t="s">
        <v>50</v>
      </c>
      <c r="D310" s="68">
        <f>D311+D312</f>
        <v>0</v>
      </c>
      <c r="E310" s="77"/>
    </row>
    <row r="311" spans="1:5" ht="37.5" hidden="1" customHeight="1" x14ac:dyDescent="0.3">
      <c r="A311" s="138" t="s">
        <v>56</v>
      </c>
      <c r="B311" s="42" t="s">
        <v>485</v>
      </c>
      <c r="C311" s="12" t="s">
        <v>57</v>
      </c>
      <c r="D311" s="68">
        <f>'В-25'!G467</f>
        <v>0</v>
      </c>
      <c r="E311" s="77"/>
    </row>
    <row r="312" spans="1:5" ht="37.5" hidden="1" customHeight="1" x14ac:dyDescent="0.3">
      <c r="A312" s="138" t="s">
        <v>425</v>
      </c>
      <c r="B312" s="42" t="s">
        <v>485</v>
      </c>
      <c r="C312" s="12" t="s">
        <v>59</v>
      </c>
      <c r="D312" s="68">
        <f>'В-25'!G468</f>
        <v>0</v>
      </c>
      <c r="E312" s="77"/>
    </row>
    <row r="313" spans="1:5" ht="37.5" hidden="1" customHeight="1" x14ac:dyDescent="0.3">
      <c r="A313" s="158" t="s">
        <v>352</v>
      </c>
      <c r="B313" s="29" t="s">
        <v>750</v>
      </c>
      <c r="C313" s="29" t="s">
        <v>50</v>
      </c>
      <c r="D313" s="68">
        <f>D314</f>
        <v>0</v>
      </c>
      <c r="E313" s="77"/>
    </row>
    <row r="314" spans="1:5" ht="37.5" hidden="1" customHeight="1" x14ac:dyDescent="0.3">
      <c r="A314" s="138" t="s">
        <v>425</v>
      </c>
      <c r="B314" s="29" t="s">
        <v>750</v>
      </c>
      <c r="C314" s="29" t="s">
        <v>59</v>
      </c>
      <c r="D314" s="68">
        <f>'В-25'!G989</f>
        <v>0</v>
      </c>
      <c r="E314" s="77"/>
    </row>
    <row r="315" spans="1:5" ht="37.5" hidden="1" customHeight="1" x14ac:dyDescent="0.3">
      <c r="A315" s="138" t="s">
        <v>211</v>
      </c>
      <c r="B315" s="13" t="s">
        <v>498</v>
      </c>
      <c r="C315" s="13" t="s">
        <v>50</v>
      </c>
      <c r="D315" s="68">
        <f>D316</f>
        <v>0</v>
      </c>
      <c r="E315" s="77"/>
    </row>
    <row r="316" spans="1:5" ht="37.5" hidden="1" customHeight="1" x14ac:dyDescent="0.3">
      <c r="A316" s="138" t="s">
        <v>425</v>
      </c>
      <c r="B316" s="13" t="s">
        <v>498</v>
      </c>
      <c r="C316" s="13" t="s">
        <v>59</v>
      </c>
      <c r="D316" s="68">
        <f>'В-25'!G1367</f>
        <v>0</v>
      </c>
      <c r="E316" s="77"/>
    </row>
    <row r="317" spans="1:5" ht="37.5" hidden="1" customHeight="1" x14ac:dyDescent="0.3">
      <c r="A317" s="138" t="s">
        <v>682</v>
      </c>
      <c r="B317" s="29" t="s">
        <v>681</v>
      </c>
      <c r="C317" s="29" t="s">
        <v>50</v>
      </c>
      <c r="D317" s="68">
        <f>D318</f>
        <v>0</v>
      </c>
      <c r="E317" s="77"/>
    </row>
    <row r="318" spans="1:5" ht="37.5" hidden="1" customHeight="1" x14ac:dyDescent="0.3">
      <c r="A318" s="138" t="s">
        <v>425</v>
      </c>
      <c r="B318" s="29" t="s">
        <v>681</v>
      </c>
      <c r="C318" s="29" t="s">
        <v>59</v>
      </c>
      <c r="D318" s="68">
        <f>'В-25'!G986</f>
        <v>0</v>
      </c>
      <c r="E318" s="77"/>
    </row>
    <row r="319" spans="1:5" ht="37.5" hidden="1" customHeight="1" x14ac:dyDescent="0.3">
      <c r="A319" s="224" t="s">
        <v>982</v>
      </c>
      <c r="B319" s="12" t="s">
        <v>983</v>
      </c>
      <c r="C319" s="12" t="s">
        <v>50</v>
      </c>
      <c r="D319" s="68">
        <f>D320</f>
        <v>0</v>
      </c>
      <c r="E319" s="77"/>
    </row>
    <row r="320" spans="1:5" ht="37.5" hidden="1" customHeight="1" x14ac:dyDescent="0.3">
      <c r="A320" s="138" t="s">
        <v>264</v>
      </c>
      <c r="B320" s="12" t="s">
        <v>983</v>
      </c>
      <c r="C320" s="12" t="s">
        <v>261</v>
      </c>
      <c r="D320" s="68">
        <f>'В-25'!G1400</f>
        <v>0</v>
      </c>
      <c r="E320" s="77"/>
    </row>
    <row r="321" spans="1:5" ht="27.75" customHeight="1" x14ac:dyDescent="0.3">
      <c r="A321" s="138" t="s">
        <v>387</v>
      </c>
      <c r="B321" s="12" t="s">
        <v>866</v>
      </c>
      <c r="C321" s="12" t="s">
        <v>50</v>
      </c>
      <c r="D321" s="68">
        <f>D322</f>
        <v>126.3</v>
      </c>
      <c r="E321" s="77"/>
    </row>
    <row r="322" spans="1:5" ht="37.5" customHeight="1" x14ac:dyDescent="0.3">
      <c r="A322" s="138" t="s">
        <v>425</v>
      </c>
      <c r="B322" s="12" t="s">
        <v>866</v>
      </c>
      <c r="C322" s="12" t="s">
        <v>59</v>
      </c>
      <c r="D322" s="68">
        <f>'В-25'!G470</f>
        <v>126.3</v>
      </c>
      <c r="E322" s="77"/>
    </row>
    <row r="323" spans="1:5" ht="37.5" hidden="1" customHeight="1" x14ac:dyDescent="0.3">
      <c r="A323" s="138" t="s">
        <v>697</v>
      </c>
      <c r="B323" s="13" t="s">
        <v>557</v>
      </c>
      <c r="C323" s="13" t="s">
        <v>50</v>
      </c>
      <c r="D323" s="68">
        <f>D327+D324</f>
        <v>0</v>
      </c>
      <c r="E323" s="77"/>
    </row>
    <row r="324" spans="1:5" ht="33" hidden="1" customHeight="1" x14ac:dyDescent="0.3">
      <c r="A324" s="138" t="s">
        <v>556</v>
      </c>
      <c r="B324" s="13" t="s">
        <v>701</v>
      </c>
      <c r="C324" s="13" t="s">
        <v>50</v>
      </c>
      <c r="D324" s="68">
        <f>D325</f>
        <v>0</v>
      </c>
      <c r="E324" s="77"/>
    </row>
    <row r="325" spans="1:5" ht="32.25" hidden="1" customHeight="1" x14ac:dyDescent="0.3">
      <c r="A325" s="138" t="s">
        <v>703</v>
      </c>
      <c r="B325" s="13" t="s">
        <v>702</v>
      </c>
      <c r="C325" s="13" t="s">
        <v>50</v>
      </c>
      <c r="D325" s="68">
        <f>D326</f>
        <v>0</v>
      </c>
      <c r="E325" s="77"/>
    </row>
    <row r="326" spans="1:5" ht="37.5" hidden="1" customHeight="1" x14ac:dyDescent="0.3">
      <c r="A326" s="138" t="s">
        <v>264</v>
      </c>
      <c r="B326" s="13" t="s">
        <v>702</v>
      </c>
      <c r="C326" s="13" t="s">
        <v>261</v>
      </c>
      <c r="D326" s="68">
        <f>'В-25'!G1347</f>
        <v>0</v>
      </c>
      <c r="E326" s="77"/>
    </row>
    <row r="327" spans="1:5" ht="37.5" hidden="1" customHeight="1" x14ac:dyDescent="0.3">
      <c r="A327" s="138" t="s">
        <v>698</v>
      </c>
      <c r="B327" s="13" t="s">
        <v>696</v>
      </c>
      <c r="C327" s="13" t="s">
        <v>50</v>
      </c>
      <c r="D327" s="68">
        <f>D328</f>
        <v>0</v>
      </c>
      <c r="E327" s="77"/>
    </row>
    <row r="328" spans="1:5" ht="37.5" hidden="1" customHeight="1" x14ac:dyDescent="0.3">
      <c r="A328" s="168" t="s">
        <v>699</v>
      </c>
      <c r="B328" s="13" t="s">
        <v>700</v>
      </c>
      <c r="C328" s="13" t="s">
        <v>50</v>
      </c>
      <c r="D328" s="68">
        <f>D329</f>
        <v>0</v>
      </c>
      <c r="E328" s="77"/>
    </row>
    <row r="329" spans="1:5" ht="37.5" hidden="1" customHeight="1" x14ac:dyDescent="0.3">
      <c r="A329" s="138" t="s">
        <v>264</v>
      </c>
      <c r="B329" s="13" t="s">
        <v>700</v>
      </c>
      <c r="C329" s="13" t="s">
        <v>261</v>
      </c>
      <c r="D329" s="68">
        <f>'В-25'!G1350</f>
        <v>0</v>
      </c>
      <c r="E329" s="77"/>
    </row>
    <row r="330" spans="1:5" ht="37.5" hidden="1" customHeight="1" x14ac:dyDescent="0.3">
      <c r="A330" s="138" t="s">
        <v>816</v>
      </c>
      <c r="B330" s="152" t="s">
        <v>945</v>
      </c>
      <c r="C330" s="106" t="s">
        <v>50</v>
      </c>
      <c r="D330" s="68">
        <f>D331</f>
        <v>0</v>
      </c>
      <c r="E330" s="77"/>
    </row>
    <row r="331" spans="1:5" ht="37.5" hidden="1" customHeight="1" x14ac:dyDescent="0.3">
      <c r="A331" s="138" t="s">
        <v>264</v>
      </c>
      <c r="B331" s="152" t="s">
        <v>945</v>
      </c>
      <c r="C331" s="12" t="s">
        <v>261</v>
      </c>
      <c r="D331" s="68">
        <f>'В-25'!G1376</f>
        <v>0</v>
      </c>
      <c r="E331" s="77"/>
    </row>
    <row r="332" spans="1:5" ht="37.5" hidden="1" customHeight="1" x14ac:dyDescent="0.3">
      <c r="A332" s="138" t="s">
        <v>816</v>
      </c>
      <c r="B332" s="152" t="s">
        <v>945</v>
      </c>
      <c r="C332" s="106" t="s">
        <v>50</v>
      </c>
      <c r="D332" s="68">
        <f>D333</f>
        <v>0</v>
      </c>
      <c r="E332" s="77"/>
    </row>
    <row r="333" spans="1:5" ht="37.5" hidden="1" customHeight="1" x14ac:dyDescent="0.3">
      <c r="A333" s="138" t="s">
        <v>264</v>
      </c>
      <c r="B333" s="152" t="s">
        <v>945</v>
      </c>
      <c r="C333" s="12" t="s">
        <v>261</v>
      </c>
      <c r="D333" s="68">
        <f>'В-25'!G1378</f>
        <v>0</v>
      </c>
      <c r="E333" s="77"/>
    </row>
    <row r="334" spans="1:5" ht="37.5" hidden="1" customHeight="1" x14ac:dyDescent="0.3">
      <c r="A334" s="236" t="s">
        <v>697</v>
      </c>
      <c r="B334" s="12" t="s">
        <v>890</v>
      </c>
      <c r="C334" s="12" t="s">
        <v>50</v>
      </c>
      <c r="D334" s="68">
        <f>D335</f>
        <v>0</v>
      </c>
      <c r="E334" s="77"/>
    </row>
    <row r="335" spans="1:5" ht="37.5" hidden="1" customHeight="1" x14ac:dyDescent="0.3">
      <c r="A335" s="236" t="s">
        <v>556</v>
      </c>
      <c r="B335" s="12" t="s">
        <v>891</v>
      </c>
      <c r="C335" s="12" t="s">
        <v>50</v>
      </c>
      <c r="D335" s="68">
        <f>D336</f>
        <v>0</v>
      </c>
      <c r="E335" s="77"/>
    </row>
    <row r="336" spans="1:5" ht="37.5" hidden="1" customHeight="1" x14ac:dyDescent="0.3">
      <c r="A336" s="138" t="s">
        <v>387</v>
      </c>
      <c r="B336" s="12" t="s">
        <v>892</v>
      </c>
      <c r="C336" s="12" t="s">
        <v>50</v>
      </c>
      <c r="D336" s="68">
        <f>D337</f>
        <v>0</v>
      </c>
      <c r="E336" s="77"/>
    </row>
    <row r="337" spans="1:5" ht="37.5" hidden="1" customHeight="1" x14ac:dyDescent="0.3">
      <c r="A337" s="138" t="s">
        <v>264</v>
      </c>
      <c r="B337" s="12" t="s">
        <v>892</v>
      </c>
      <c r="C337" s="12" t="s">
        <v>261</v>
      </c>
      <c r="D337" s="68">
        <f>'В-25'!G1202</f>
        <v>0</v>
      </c>
      <c r="E337" s="77"/>
    </row>
    <row r="338" spans="1:5" ht="37.5" hidden="1" customHeight="1" x14ac:dyDescent="0.3">
      <c r="A338" s="138" t="s">
        <v>937</v>
      </c>
      <c r="B338" s="12" t="s">
        <v>936</v>
      </c>
      <c r="C338" s="12" t="s">
        <v>50</v>
      </c>
      <c r="D338" s="68">
        <f>D339</f>
        <v>0</v>
      </c>
      <c r="E338" s="77"/>
    </row>
    <row r="339" spans="1:5" ht="37.5" hidden="1" customHeight="1" x14ac:dyDescent="0.3">
      <c r="A339" s="138" t="s">
        <v>425</v>
      </c>
      <c r="B339" s="12" t="s">
        <v>936</v>
      </c>
      <c r="C339" s="12" t="s">
        <v>59</v>
      </c>
      <c r="D339" s="68">
        <f>'В-25'!G491</f>
        <v>0</v>
      </c>
      <c r="E339" s="77"/>
    </row>
    <row r="340" spans="1:5" ht="61.5" customHeight="1" x14ac:dyDescent="0.3">
      <c r="A340" s="164" t="s">
        <v>159</v>
      </c>
      <c r="B340" s="19" t="s">
        <v>91</v>
      </c>
      <c r="C340" s="7" t="s">
        <v>50</v>
      </c>
      <c r="D340" s="189">
        <f>D341+D346+D352+D357</f>
        <v>65581.699999999983</v>
      </c>
      <c r="E340" s="77"/>
    </row>
    <row r="341" spans="1:5" ht="36.75" customHeight="1" x14ac:dyDescent="0.3">
      <c r="A341" s="138" t="s">
        <v>52</v>
      </c>
      <c r="B341" s="12" t="s">
        <v>358</v>
      </c>
      <c r="C341" s="12" t="s">
        <v>50</v>
      </c>
      <c r="D341" s="68">
        <f>D342+D344+D355</f>
        <v>64721.69999999999</v>
      </c>
      <c r="E341" s="77"/>
    </row>
    <row r="342" spans="1:5" ht="25.5" customHeight="1" x14ac:dyDescent="0.3">
      <c r="A342" s="138" t="s">
        <v>384</v>
      </c>
      <c r="B342" s="12" t="s">
        <v>359</v>
      </c>
      <c r="C342" s="12" t="s">
        <v>50</v>
      </c>
      <c r="D342" s="68">
        <f>D343</f>
        <v>51029.19999999999</v>
      </c>
      <c r="E342" s="77"/>
    </row>
    <row r="343" spans="1:5" ht="42.75" customHeight="1" x14ac:dyDescent="0.3">
      <c r="A343" s="138" t="s">
        <v>264</v>
      </c>
      <c r="B343" s="12" t="s">
        <v>359</v>
      </c>
      <c r="C343" s="12" t="s">
        <v>261</v>
      </c>
      <c r="D343" s="68">
        <f>'В-25'!G1521</f>
        <v>51029.19999999999</v>
      </c>
      <c r="E343" s="77"/>
    </row>
    <row r="344" spans="1:5" ht="36.75" customHeight="1" x14ac:dyDescent="0.3">
      <c r="A344" s="157" t="s">
        <v>374</v>
      </c>
      <c r="B344" s="12" t="s">
        <v>511</v>
      </c>
      <c r="C344" s="12" t="s">
        <v>50</v>
      </c>
      <c r="D344" s="68">
        <f>D345</f>
        <v>1851.5</v>
      </c>
      <c r="E344" s="77"/>
    </row>
    <row r="345" spans="1:5" ht="36.75" customHeight="1" x14ac:dyDescent="0.3">
      <c r="A345" s="138" t="s">
        <v>264</v>
      </c>
      <c r="B345" s="12" t="s">
        <v>511</v>
      </c>
      <c r="C345" s="12" t="s">
        <v>261</v>
      </c>
      <c r="D345" s="68">
        <f>'В-25'!G1523</f>
        <v>1851.5</v>
      </c>
      <c r="E345" s="77"/>
    </row>
    <row r="346" spans="1:5" ht="27.75" hidden="1" customHeight="1" x14ac:dyDescent="0.3">
      <c r="A346" s="138" t="s">
        <v>62</v>
      </c>
      <c r="B346" s="12" t="s">
        <v>332</v>
      </c>
      <c r="C346" s="12" t="s">
        <v>50</v>
      </c>
      <c r="D346" s="68">
        <f>D347</f>
        <v>0</v>
      </c>
      <c r="E346" s="77"/>
    </row>
    <row r="347" spans="1:5" ht="22.5" hidden="1" customHeight="1" x14ac:dyDescent="0.3">
      <c r="A347" s="138" t="s">
        <v>331</v>
      </c>
      <c r="B347" s="12" t="s">
        <v>333</v>
      </c>
      <c r="C347" s="12" t="s">
        <v>50</v>
      </c>
      <c r="D347" s="68">
        <f>D348+D349+D350</f>
        <v>0</v>
      </c>
      <c r="E347" s="77"/>
    </row>
    <row r="348" spans="1:5" ht="78.75" hidden="1" customHeight="1" outlineLevel="1" x14ac:dyDescent="0.3">
      <c r="A348" s="138" t="s">
        <v>56</v>
      </c>
      <c r="B348" s="12" t="s">
        <v>333</v>
      </c>
      <c r="C348" s="12" t="s">
        <v>57</v>
      </c>
      <c r="D348" s="68">
        <f>'В-25'!G1495</f>
        <v>0</v>
      </c>
      <c r="E348" s="77"/>
    </row>
    <row r="349" spans="1:5" ht="38.25" hidden="1" customHeight="1" x14ac:dyDescent="0.3">
      <c r="A349" s="138" t="s">
        <v>425</v>
      </c>
      <c r="B349" s="12" t="s">
        <v>333</v>
      </c>
      <c r="C349" s="12" t="s">
        <v>59</v>
      </c>
      <c r="D349" s="68">
        <f>'[2]В-21'!G838+'[2]В-21'!G240</f>
        <v>0</v>
      </c>
      <c r="E349" s="77"/>
    </row>
    <row r="350" spans="1:5" ht="38.25" hidden="1" customHeight="1" x14ac:dyDescent="0.3">
      <c r="A350" s="138" t="s">
        <v>264</v>
      </c>
      <c r="B350" s="12" t="s">
        <v>333</v>
      </c>
      <c r="C350" s="12" t="s">
        <v>261</v>
      </c>
      <c r="D350" s="68">
        <v>0</v>
      </c>
      <c r="E350" s="77"/>
    </row>
    <row r="351" spans="1:5" ht="21.75" hidden="1" customHeight="1" x14ac:dyDescent="0.3">
      <c r="A351" s="138" t="s">
        <v>411</v>
      </c>
      <c r="B351" s="65" t="s">
        <v>410</v>
      </c>
      <c r="C351" s="12" t="s">
        <v>50</v>
      </c>
      <c r="D351" s="68">
        <f>D352</f>
        <v>0</v>
      </c>
      <c r="E351" s="77"/>
    </row>
    <row r="352" spans="1:5" ht="26.25" hidden="1" customHeight="1" x14ac:dyDescent="0.3">
      <c r="A352" s="169" t="s">
        <v>412</v>
      </c>
      <c r="B352" s="13" t="s">
        <v>363</v>
      </c>
      <c r="C352" s="13" t="s">
        <v>50</v>
      </c>
      <c r="D352" s="68">
        <f>D353</f>
        <v>0</v>
      </c>
      <c r="E352" s="77"/>
    </row>
    <row r="353" spans="1:5" ht="75" hidden="1" x14ac:dyDescent="0.3">
      <c r="A353" s="169" t="s">
        <v>362</v>
      </c>
      <c r="B353" s="13" t="s">
        <v>364</v>
      </c>
      <c r="C353" s="13" t="s">
        <v>50</v>
      </c>
      <c r="D353" s="68">
        <f>D354</f>
        <v>0</v>
      </c>
      <c r="E353" s="77"/>
    </row>
    <row r="354" spans="1:5" ht="37.5" hidden="1" x14ac:dyDescent="0.3">
      <c r="A354" s="169" t="s">
        <v>264</v>
      </c>
      <c r="B354" s="13" t="s">
        <v>364</v>
      </c>
      <c r="C354" s="12" t="s">
        <v>261</v>
      </c>
      <c r="D354" s="68">
        <f>'[2]В-21'!G855</f>
        <v>0</v>
      </c>
      <c r="E354" s="77"/>
    </row>
    <row r="355" spans="1:5" ht="18.75" x14ac:dyDescent="0.3">
      <c r="A355" s="138" t="s">
        <v>673</v>
      </c>
      <c r="B355" s="12" t="s">
        <v>979</v>
      </c>
      <c r="C355" s="12" t="s">
        <v>50</v>
      </c>
      <c r="D355" s="68">
        <f>D356</f>
        <v>11841</v>
      </c>
      <c r="E355" s="77"/>
    </row>
    <row r="356" spans="1:5" ht="37.5" x14ac:dyDescent="0.3">
      <c r="A356" s="138" t="s">
        <v>290</v>
      </c>
      <c r="B356" s="12" t="s">
        <v>979</v>
      </c>
      <c r="C356" s="12" t="s">
        <v>291</v>
      </c>
      <c r="D356" s="68">
        <f>'В-25'!G1512</f>
        <v>11841</v>
      </c>
      <c r="E356" s="77"/>
    </row>
    <row r="357" spans="1:5" s="217" customFormat="1" ht="18.75" x14ac:dyDescent="0.3">
      <c r="A357" s="181" t="s">
        <v>409</v>
      </c>
      <c r="B357" s="7" t="s">
        <v>704</v>
      </c>
      <c r="C357" s="7" t="s">
        <v>50</v>
      </c>
      <c r="D357" s="189">
        <f>D361+D363+D365+D358+D368</f>
        <v>860</v>
      </c>
      <c r="E357" s="216"/>
    </row>
    <row r="358" spans="1:5" ht="18.75" hidden="1" x14ac:dyDescent="0.3">
      <c r="A358" s="138" t="s">
        <v>62</v>
      </c>
      <c r="B358" s="13" t="s">
        <v>749</v>
      </c>
      <c r="C358" s="12" t="s">
        <v>50</v>
      </c>
      <c r="D358" s="68">
        <f>D359</f>
        <v>0</v>
      </c>
      <c r="E358" s="77"/>
    </row>
    <row r="359" spans="1:5" ht="18.75" hidden="1" x14ac:dyDescent="0.3">
      <c r="A359" s="138" t="s">
        <v>289</v>
      </c>
      <c r="B359" s="13" t="s">
        <v>748</v>
      </c>
      <c r="C359" s="12" t="s">
        <v>50</v>
      </c>
      <c r="D359" s="68">
        <f>D360</f>
        <v>0</v>
      </c>
      <c r="E359" s="77"/>
    </row>
    <row r="360" spans="1:5" ht="37.5" hidden="1" x14ac:dyDescent="0.3">
      <c r="A360" s="138" t="s">
        <v>264</v>
      </c>
      <c r="B360" s="13" t="s">
        <v>748</v>
      </c>
      <c r="C360" s="12" t="s">
        <v>261</v>
      </c>
      <c r="D360" s="68">
        <f>'В-25'!G1506</f>
        <v>0</v>
      </c>
      <c r="E360" s="77"/>
    </row>
    <row r="361" spans="1:5" ht="24.75" customHeight="1" x14ac:dyDescent="0.3">
      <c r="A361" s="224" t="s">
        <v>894</v>
      </c>
      <c r="B361" s="13" t="s">
        <v>878</v>
      </c>
      <c r="C361" s="12" t="s">
        <v>50</v>
      </c>
      <c r="D361" s="68">
        <f>D362</f>
        <v>800</v>
      </c>
      <c r="E361" s="77"/>
    </row>
    <row r="362" spans="1:5" ht="37.5" x14ac:dyDescent="0.3">
      <c r="A362" s="138" t="s">
        <v>264</v>
      </c>
      <c r="B362" s="13" t="s">
        <v>878</v>
      </c>
      <c r="C362" s="12" t="s">
        <v>261</v>
      </c>
      <c r="D362" s="68">
        <f>'В-25'!G1529</f>
        <v>800</v>
      </c>
      <c r="E362" s="77"/>
    </row>
    <row r="363" spans="1:5" ht="56.25" hidden="1" x14ac:dyDescent="0.3">
      <c r="A363" s="151" t="s">
        <v>705</v>
      </c>
      <c r="B363" s="12" t="s">
        <v>772</v>
      </c>
      <c r="C363" s="12" t="s">
        <v>50</v>
      </c>
      <c r="D363" s="68">
        <f>D364</f>
        <v>0</v>
      </c>
      <c r="E363" s="77"/>
    </row>
    <row r="364" spans="1:5" ht="37.5" hidden="1" x14ac:dyDescent="0.3">
      <c r="A364" s="138" t="s">
        <v>264</v>
      </c>
      <c r="B364" s="12" t="s">
        <v>772</v>
      </c>
      <c r="C364" s="12" t="s">
        <v>261</v>
      </c>
      <c r="D364" s="68">
        <f>'В-25'!G1508</f>
        <v>0</v>
      </c>
      <c r="E364" s="77"/>
    </row>
    <row r="365" spans="1:5" ht="56.25" hidden="1" x14ac:dyDescent="0.3">
      <c r="A365" s="151" t="s">
        <v>705</v>
      </c>
      <c r="B365" s="12" t="s">
        <v>773</v>
      </c>
      <c r="C365" s="12" t="s">
        <v>50</v>
      </c>
      <c r="D365" s="68">
        <f>D366</f>
        <v>0</v>
      </c>
      <c r="E365" s="77"/>
    </row>
    <row r="366" spans="1:5" ht="37.5" hidden="1" x14ac:dyDescent="0.3">
      <c r="A366" s="138" t="s">
        <v>264</v>
      </c>
      <c r="B366" s="12" t="s">
        <v>773</v>
      </c>
      <c r="C366" s="12" t="s">
        <v>261</v>
      </c>
      <c r="D366" s="68">
        <f>'В-25'!G1510</f>
        <v>0</v>
      </c>
      <c r="E366" s="77"/>
    </row>
    <row r="367" spans="1:5" ht="18.75" x14ac:dyDescent="0.3">
      <c r="A367" s="138" t="s">
        <v>311</v>
      </c>
      <c r="B367" s="12" t="s">
        <v>1155</v>
      </c>
      <c r="C367" s="12" t="s">
        <v>50</v>
      </c>
      <c r="D367" s="68">
        <f>D368</f>
        <v>60</v>
      </c>
      <c r="E367" s="77"/>
    </row>
    <row r="368" spans="1:5" ht="37.5" x14ac:dyDescent="0.3">
      <c r="A368" s="138" t="s">
        <v>264</v>
      </c>
      <c r="B368" s="12" t="s">
        <v>1155</v>
      </c>
      <c r="C368" s="12" t="s">
        <v>261</v>
      </c>
      <c r="D368" s="68">
        <f>'В-25'!G1516</f>
        <v>60</v>
      </c>
      <c r="E368" s="77"/>
    </row>
    <row r="369" spans="1:5" ht="56.25" x14ac:dyDescent="0.3">
      <c r="A369" s="164" t="s">
        <v>0</v>
      </c>
      <c r="B369" s="19" t="s">
        <v>92</v>
      </c>
      <c r="C369" s="7" t="s">
        <v>50</v>
      </c>
      <c r="D369" s="189">
        <f>D370+D386+D409+D428+D440+D434</f>
        <v>50766.219639999996</v>
      </c>
      <c r="E369" s="77"/>
    </row>
    <row r="370" spans="1:5" ht="39" x14ac:dyDescent="0.35">
      <c r="A370" s="156" t="s">
        <v>1</v>
      </c>
      <c r="B370" s="59" t="s">
        <v>93</v>
      </c>
      <c r="C370" s="60" t="s">
        <v>50</v>
      </c>
      <c r="D370" s="190">
        <f>D379+D371+D375+D377</f>
        <v>1661.01</v>
      </c>
      <c r="E370" s="77"/>
    </row>
    <row r="371" spans="1:5" ht="18.75" x14ac:dyDescent="0.3">
      <c r="A371" s="138" t="s">
        <v>62</v>
      </c>
      <c r="B371" s="12" t="s">
        <v>403</v>
      </c>
      <c r="C371" s="12" t="s">
        <v>50</v>
      </c>
      <c r="D371" s="68">
        <f>D372</f>
        <v>232</v>
      </c>
      <c r="E371" s="77"/>
    </row>
    <row r="372" spans="1:5" ht="18.75" x14ac:dyDescent="0.3">
      <c r="A372" s="138" t="s">
        <v>156</v>
      </c>
      <c r="B372" s="12" t="s">
        <v>404</v>
      </c>
      <c r="C372" s="12" t="s">
        <v>50</v>
      </c>
      <c r="D372" s="68">
        <f>D373+D374</f>
        <v>232</v>
      </c>
      <c r="E372" s="77"/>
    </row>
    <row r="373" spans="1:5" ht="75" x14ac:dyDescent="0.3">
      <c r="A373" s="138" t="s">
        <v>56</v>
      </c>
      <c r="B373" s="12" t="s">
        <v>404</v>
      </c>
      <c r="C373" s="12" t="s">
        <v>57</v>
      </c>
      <c r="D373" s="68">
        <f>'В-25'!G677</f>
        <v>222</v>
      </c>
      <c r="E373" s="77"/>
    </row>
    <row r="374" spans="1:5" ht="37.5" x14ac:dyDescent="0.3">
      <c r="A374" s="138" t="s">
        <v>425</v>
      </c>
      <c r="B374" s="12" t="s">
        <v>404</v>
      </c>
      <c r="C374" s="12" t="s">
        <v>59</v>
      </c>
      <c r="D374" s="68">
        <f>'В-25'!G678</f>
        <v>10</v>
      </c>
      <c r="E374" s="77"/>
    </row>
    <row r="375" spans="1:5" ht="18.75" x14ac:dyDescent="0.3">
      <c r="A375" s="138" t="s">
        <v>687</v>
      </c>
      <c r="B375" s="12" t="s">
        <v>873</v>
      </c>
      <c r="C375" s="12" t="s">
        <v>50</v>
      </c>
      <c r="D375" s="68">
        <f>D376</f>
        <v>26.61</v>
      </c>
      <c r="E375" s="77"/>
    </row>
    <row r="376" spans="1:5" ht="75" x14ac:dyDescent="0.3">
      <c r="A376" s="138" t="s">
        <v>56</v>
      </c>
      <c r="B376" s="12" t="s">
        <v>873</v>
      </c>
      <c r="C376" s="12" t="s">
        <v>57</v>
      </c>
      <c r="D376" s="68">
        <f>'В-25'!G680</f>
        <v>26.61</v>
      </c>
      <c r="E376" s="77"/>
    </row>
    <row r="377" spans="1:5" ht="18.75" x14ac:dyDescent="0.3">
      <c r="A377" s="138" t="s">
        <v>687</v>
      </c>
      <c r="B377" s="12" t="s">
        <v>874</v>
      </c>
      <c r="C377" s="12" t="s">
        <v>50</v>
      </c>
      <c r="D377" s="68">
        <f>D378</f>
        <v>0.4</v>
      </c>
      <c r="E377" s="77"/>
    </row>
    <row r="378" spans="1:5" ht="75" x14ac:dyDescent="0.3">
      <c r="A378" s="138" t="s">
        <v>56</v>
      </c>
      <c r="B378" s="12" t="s">
        <v>874</v>
      </c>
      <c r="C378" s="12" t="s">
        <v>57</v>
      </c>
      <c r="D378" s="68">
        <f>'В-25'!G682</f>
        <v>0.4</v>
      </c>
      <c r="E378" s="77"/>
    </row>
    <row r="379" spans="1:5" ht="56.25" x14ac:dyDescent="0.3">
      <c r="A379" s="138" t="s">
        <v>173</v>
      </c>
      <c r="B379" s="12" t="s">
        <v>846</v>
      </c>
      <c r="C379" s="12" t="s">
        <v>50</v>
      </c>
      <c r="D379" s="68">
        <f>D380+D383</f>
        <v>1402</v>
      </c>
      <c r="E379" s="77"/>
    </row>
    <row r="380" spans="1:5" ht="18.75" hidden="1" outlineLevel="1" x14ac:dyDescent="0.3">
      <c r="A380" s="138" t="s">
        <v>206</v>
      </c>
      <c r="B380" s="12" t="s">
        <v>207</v>
      </c>
      <c r="C380" s="12" t="s">
        <v>50</v>
      </c>
      <c r="D380" s="68">
        <f>D381+D382</f>
        <v>0</v>
      </c>
      <c r="E380" s="77"/>
    </row>
    <row r="381" spans="1:5" ht="75" hidden="1" outlineLevel="1" x14ac:dyDescent="0.3">
      <c r="A381" s="138" t="s">
        <v>56</v>
      </c>
      <c r="B381" s="12" t="s">
        <v>207</v>
      </c>
      <c r="C381" s="12" t="s">
        <v>57</v>
      </c>
      <c r="D381" s="68">
        <v>0</v>
      </c>
      <c r="E381" s="77"/>
    </row>
    <row r="382" spans="1:5" ht="18.75" hidden="1" outlineLevel="1" x14ac:dyDescent="0.3">
      <c r="A382" s="138" t="s">
        <v>58</v>
      </c>
      <c r="B382" s="12" t="s">
        <v>207</v>
      </c>
      <c r="C382" s="12" t="s">
        <v>59</v>
      </c>
      <c r="D382" s="68">
        <v>0</v>
      </c>
      <c r="E382" s="77"/>
    </row>
    <row r="383" spans="1:5" ht="93.75" collapsed="1" x14ac:dyDescent="0.3">
      <c r="A383" s="138" t="s">
        <v>532</v>
      </c>
      <c r="B383" s="12" t="s">
        <v>851</v>
      </c>
      <c r="C383" s="12" t="s">
        <v>50</v>
      </c>
      <c r="D383" s="68">
        <f>D384+D385</f>
        <v>1402</v>
      </c>
      <c r="E383" s="77"/>
    </row>
    <row r="384" spans="1:5" ht="75" x14ac:dyDescent="0.3">
      <c r="A384" s="138" t="s">
        <v>56</v>
      </c>
      <c r="B384" s="12" t="s">
        <v>851</v>
      </c>
      <c r="C384" s="12" t="s">
        <v>57</v>
      </c>
      <c r="D384" s="68">
        <f>'В-25'!G512</f>
        <v>1397</v>
      </c>
      <c r="E384" s="77"/>
    </row>
    <row r="385" spans="1:5" ht="37.5" x14ac:dyDescent="0.3">
      <c r="A385" s="138" t="s">
        <v>425</v>
      </c>
      <c r="B385" s="12" t="s">
        <v>851</v>
      </c>
      <c r="C385" s="12" t="s">
        <v>59</v>
      </c>
      <c r="D385" s="68">
        <f>'В-25'!G513</f>
        <v>5</v>
      </c>
      <c r="E385" s="77"/>
    </row>
    <row r="386" spans="1:5" ht="58.5" x14ac:dyDescent="0.35">
      <c r="A386" s="156" t="s">
        <v>2</v>
      </c>
      <c r="B386" s="59" t="s">
        <v>26</v>
      </c>
      <c r="C386" s="61" t="s">
        <v>50</v>
      </c>
      <c r="D386" s="190">
        <f>D387+D395+D399+D404</f>
        <v>15603.32964</v>
      </c>
      <c r="E386" s="77"/>
    </row>
    <row r="387" spans="1:5" ht="18.75" x14ac:dyDescent="0.3">
      <c r="A387" s="171" t="s">
        <v>62</v>
      </c>
      <c r="B387" s="29" t="s">
        <v>287</v>
      </c>
      <c r="C387" s="29" t="s">
        <v>50</v>
      </c>
      <c r="D387" s="68">
        <f>D388+D390+D393</f>
        <v>1510</v>
      </c>
      <c r="E387" s="77"/>
    </row>
    <row r="388" spans="1:5" ht="18.75" hidden="1" outlineLevel="1" x14ac:dyDescent="0.3">
      <c r="A388" s="138" t="s">
        <v>318</v>
      </c>
      <c r="B388" s="12" t="s">
        <v>319</v>
      </c>
      <c r="C388" s="12" t="s">
        <v>50</v>
      </c>
      <c r="D388" s="68">
        <f>D389</f>
        <v>0</v>
      </c>
      <c r="E388" s="77"/>
    </row>
    <row r="389" spans="1:5" ht="37.5" hidden="1" outlineLevel="1" x14ac:dyDescent="0.3">
      <c r="A389" s="138" t="s">
        <v>264</v>
      </c>
      <c r="B389" s="12" t="s">
        <v>319</v>
      </c>
      <c r="C389" s="12" t="s">
        <v>261</v>
      </c>
      <c r="D389" s="68">
        <v>0</v>
      </c>
      <c r="E389" s="77"/>
    </row>
    <row r="390" spans="1:5" ht="18.75" collapsed="1" x14ac:dyDescent="0.3">
      <c r="A390" s="171" t="s">
        <v>286</v>
      </c>
      <c r="B390" s="29" t="s">
        <v>288</v>
      </c>
      <c r="C390" s="29" t="s">
        <v>50</v>
      </c>
      <c r="D390" s="68">
        <f>D391+D392</f>
        <v>480</v>
      </c>
      <c r="E390" s="77"/>
    </row>
    <row r="391" spans="1:5" ht="37.5" x14ac:dyDescent="0.3">
      <c r="A391" s="138" t="s">
        <v>425</v>
      </c>
      <c r="B391" s="29" t="s">
        <v>288</v>
      </c>
      <c r="C391" s="29" t="s">
        <v>57</v>
      </c>
      <c r="D391" s="68">
        <f>'В-25'!G175</f>
        <v>368.00170000000003</v>
      </c>
      <c r="E391" s="77"/>
    </row>
    <row r="392" spans="1:5" ht="37.5" x14ac:dyDescent="0.3">
      <c r="A392" s="138" t="s">
        <v>264</v>
      </c>
      <c r="B392" s="29" t="s">
        <v>288</v>
      </c>
      <c r="C392" s="29" t="s">
        <v>261</v>
      </c>
      <c r="D392" s="68">
        <f>'В-25'!G176</f>
        <v>111.9983</v>
      </c>
      <c r="E392" s="77"/>
    </row>
    <row r="393" spans="1:5" ht="18.75" x14ac:dyDescent="0.3">
      <c r="A393" s="138" t="s">
        <v>327</v>
      </c>
      <c r="B393" s="12" t="s">
        <v>328</v>
      </c>
      <c r="C393" s="12" t="s">
        <v>50</v>
      </c>
      <c r="D393" s="68">
        <f>D394</f>
        <v>1030</v>
      </c>
      <c r="E393" s="77"/>
    </row>
    <row r="394" spans="1:5" ht="37.5" x14ac:dyDescent="0.3">
      <c r="A394" s="138" t="s">
        <v>264</v>
      </c>
      <c r="B394" s="12" t="s">
        <v>328</v>
      </c>
      <c r="C394" s="12" t="s">
        <v>261</v>
      </c>
      <c r="D394" s="68">
        <f>'В-25'!G1489</f>
        <v>1030</v>
      </c>
      <c r="E394" s="77"/>
    </row>
    <row r="395" spans="1:5" ht="37.5" x14ac:dyDescent="0.3">
      <c r="A395" s="138" t="s">
        <v>168</v>
      </c>
      <c r="B395" s="13" t="s">
        <v>170</v>
      </c>
      <c r="C395" s="12" t="s">
        <v>50</v>
      </c>
      <c r="D395" s="68">
        <f>D396+D398+D397</f>
        <v>10455.32964</v>
      </c>
      <c r="E395" s="77"/>
    </row>
    <row r="396" spans="1:5" ht="37.5" x14ac:dyDescent="0.3">
      <c r="A396" s="138" t="s">
        <v>425</v>
      </c>
      <c r="B396" s="13" t="s">
        <v>170</v>
      </c>
      <c r="C396" s="12" t="s">
        <v>59</v>
      </c>
      <c r="D396" s="68">
        <f>'В-25'!G336</f>
        <v>9711.1296399999992</v>
      </c>
      <c r="E396" s="77"/>
    </row>
    <row r="397" spans="1:5" ht="18.75" hidden="1" x14ac:dyDescent="0.3">
      <c r="A397" s="138" t="s">
        <v>175</v>
      </c>
      <c r="B397" s="13" t="s">
        <v>170</v>
      </c>
      <c r="C397" s="12" t="s">
        <v>176</v>
      </c>
      <c r="D397" s="68">
        <f>'В-25'!G337</f>
        <v>0</v>
      </c>
      <c r="E397" s="77"/>
    </row>
    <row r="398" spans="1:5" ht="37.5" x14ac:dyDescent="0.3">
      <c r="A398" s="138" t="s">
        <v>264</v>
      </c>
      <c r="B398" s="13" t="s">
        <v>170</v>
      </c>
      <c r="C398" s="12" t="s">
        <v>261</v>
      </c>
      <c r="D398" s="68">
        <f>'В-25'!G338</f>
        <v>744.2</v>
      </c>
      <c r="E398" s="77"/>
    </row>
    <row r="399" spans="1:5" ht="56.25" x14ac:dyDescent="0.3">
      <c r="A399" s="138" t="s">
        <v>173</v>
      </c>
      <c r="B399" s="12" t="s">
        <v>804</v>
      </c>
      <c r="C399" s="12" t="s">
        <v>50</v>
      </c>
      <c r="D399" s="68">
        <f>D400</f>
        <v>2927</v>
      </c>
      <c r="E399" s="77"/>
    </row>
    <row r="400" spans="1:5" ht="75" x14ac:dyDescent="0.3">
      <c r="A400" s="138" t="s">
        <v>179</v>
      </c>
      <c r="B400" s="12" t="s">
        <v>850</v>
      </c>
      <c r="C400" s="12" t="s">
        <v>50</v>
      </c>
      <c r="D400" s="68">
        <f>D402+D403+D401</f>
        <v>2927</v>
      </c>
      <c r="E400" s="77"/>
    </row>
    <row r="401" spans="1:5" ht="75" x14ac:dyDescent="0.3">
      <c r="A401" s="138" t="s">
        <v>56</v>
      </c>
      <c r="B401" s="12" t="s">
        <v>850</v>
      </c>
      <c r="C401" s="12" t="s">
        <v>57</v>
      </c>
      <c r="D401" s="68">
        <f>'В-25'!G363+'В-25'!G310</f>
        <v>66.7</v>
      </c>
      <c r="E401" s="77"/>
    </row>
    <row r="402" spans="1:5" ht="37.5" x14ac:dyDescent="0.3">
      <c r="A402" s="138" t="s">
        <v>425</v>
      </c>
      <c r="B402" s="12" t="s">
        <v>850</v>
      </c>
      <c r="C402" s="12" t="s">
        <v>59</v>
      </c>
      <c r="D402" s="68">
        <f>'В-25'!G311+'В-25'!G364</f>
        <v>24.3</v>
      </c>
      <c r="E402" s="77"/>
    </row>
    <row r="403" spans="1:5" ht="18.75" x14ac:dyDescent="0.3">
      <c r="A403" s="138" t="s">
        <v>175</v>
      </c>
      <c r="B403" s="12" t="s">
        <v>850</v>
      </c>
      <c r="C403" s="12" t="s">
        <v>176</v>
      </c>
      <c r="D403" s="68">
        <f>'В-25'!G365</f>
        <v>2836</v>
      </c>
      <c r="E403" s="77"/>
    </row>
    <row r="404" spans="1:5" ht="131.25" x14ac:dyDescent="0.3">
      <c r="A404" s="138" t="s">
        <v>941</v>
      </c>
      <c r="B404" s="12" t="s">
        <v>940</v>
      </c>
      <c r="C404" s="12" t="s">
        <v>50</v>
      </c>
      <c r="D404" s="68">
        <f>D405+D406+D408+D407</f>
        <v>711</v>
      </c>
      <c r="E404" s="77"/>
    </row>
    <row r="405" spans="1:5" ht="37.5" x14ac:dyDescent="0.3">
      <c r="A405" s="138" t="s">
        <v>425</v>
      </c>
      <c r="B405" s="12" t="s">
        <v>940</v>
      </c>
      <c r="C405" s="12" t="s">
        <v>59</v>
      </c>
      <c r="D405" s="68">
        <f>'В-25'!G367</f>
        <v>504.90249999999997</v>
      </c>
      <c r="E405" s="77"/>
    </row>
    <row r="406" spans="1:5" ht="18.75" hidden="1" x14ac:dyDescent="0.3">
      <c r="A406" s="138" t="s">
        <v>175</v>
      </c>
      <c r="B406" s="12" t="s">
        <v>940</v>
      </c>
      <c r="C406" s="12" t="s">
        <v>176</v>
      </c>
      <c r="D406" s="68">
        <f>'В-25'!G368</f>
        <v>0</v>
      </c>
      <c r="E406" s="77"/>
    </row>
    <row r="407" spans="1:5" ht="18.75" x14ac:dyDescent="0.3">
      <c r="A407" s="138" t="s">
        <v>175</v>
      </c>
      <c r="B407" s="12" t="s">
        <v>940</v>
      </c>
      <c r="C407" s="12" t="s">
        <v>176</v>
      </c>
      <c r="D407" s="68">
        <f>'В-25'!G369</f>
        <v>65.45</v>
      </c>
      <c r="E407" s="77"/>
    </row>
    <row r="408" spans="1:5" ht="37.5" x14ac:dyDescent="0.3">
      <c r="A408" s="138" t="s">
        <v>264</v>
      </c>
      <c r="B408" s="12" t="s">
        <v>940</v>
      </c>
      <c r="C408" s="12" t="s">
        <v>261</v>
      </c>
      <c r="D408" s="68">
        <f>'В-25'!G370</f>
        <v>140.64749999999998</v>
      </c>
      <c r="E408" s="77"/>
    </row>
    <row r="409" spans="1:5" ht="58.5" x14ac:dyDescent="0.35">
      <c r="A409" s="156" t="s">
        <v>3</v>
      </c>
      <c r="B409" s="59" t="s">
        <v>94</v>
      </c>
      <c r="C409" s="61" t="s">
        <v>50</v>
      </c>
      <c r="D409" s="190">
        <f>D410+D423+D426+D432</f>
        <v>29072.100000000002</v>
      </c>
      <c r="E409" s="77"/>
    </row>
    <row r="410" spans="1:5" ht="56.25" x14ac:dyDescent="0.3">
      <c r="A410" s="138" t="s">
        <v>173</v>
      </c>
      <c r="B410" s="12" t="s">
        <v>846</v>
      </c>
      <c r="C410" s="12" t="s">
        <v>50</v>
      </c>
      <c r="D410" s="68">
        <f>D414+D418+D411</f>
        <v>17555.300000000003</v>
      </c>
      <c r="E410" s="77"/>
    </row>
    <row r="411" spans="1:5" ht="18.75" x14ac:dyDescent="0.3">
      <c r="A411" s="138" t="s">
        <v>206</v>
      </c>
      <c r="B411" s="12" t="s">
        <v>845</v>
      </c>
      <c r="C411" s="12" t="s">
        <v>50</v>
      </c>
      <c r="D411" s="68">
        <f>D412+D413</f>
        <v>2667.5</v>
      </c>
      <c r="E411" s="77"/>
    </row>
    <row r="412" spans="1:5" ht="75" x14ac:dyDescent="0.3">
      <c r="A412" s="138" t="s">
        <v>56</v>
      </c>
      <c r="B412" s="12" t="s">
        <v>845</v>
      </c>
      <c r="C412" s="12" t="s">
        <v>57</v>
      </c>
      <c r="D412" s="68">
        <f>'В-25'!G517</f>
        <v>2632.7</v>
      </c>
      <c r="E412" s="77"/>
    </row>
    <row r="413" spans="1:5" ht="37.5" x14ac:dyDescent="0.3">
      <c r="A413" s="138" t="s">
        <v>425</v>
      </c>
      <c r="B413" s="12" t="s">
        <v>845</v>
      </c>
      <c r="C413" s="12" t="s">
        <v>59</v>
      </c>
      <c r="D413" s="68">
        <f>'В-25'!G518</f>
        <v>34.799999999999997</v>
      </c>
      <c r="E413" s="77"/>
    </row>
    <row r="414" spans="1:5" ht="93.75" x14ac:dyDescent="0.3">
      <c r="A414" s="138" t="s">
        <v>174</v>
      </c>
      <c r="B414" s="12" t="s">
        <v>849</v>
      </c>
      <c r="C414" s="12" t="s">
        <v>50</v>
      </c>
      <c r="D414" s="68">
        <f>D415+D416+D417</f>
        <v>14830.2</v>
      </c>
      <c r="E414" s="77"/>
    </row>
    <row r="415" spans="1:5" ht="37.5" x14ac:dyDescent="0.3">
      <c r="A415" s="138" t="s">
        <v>425</v>
      </c>
      <c r="B415" s="12" t="s">
        <v>849</v>
      </c>
      <c r="C415" s="12" t="s">
        <v>59</v>
      </c>
      <c r="D415" s="68">
        <f>'В-25'!G374</f>
        <v>149</v>
      </c>
      <c r="E415" s="77"/>
    </row>
    <row r="416" spans="1:5" ht="18.75" x14ac:dyDescent="0.3">
      <c r="A416" s="138" t="s">
        <v>175</v>
      </c>
      <c r="B416" s="12" t="s">
        <v>849</v>
      </c>
      <c r="C416" s="12" t="s">
        <v>176</v>
      </c>
      <c r="D416" s="68">
        <f>'В-25'!G375</f>
        <v>14543.7</v>
      </c>
      <c r="E416" s="77"/>
    </row>
    <row r="417" spans="1:5" ht="37.5" x14ac:dyDescent="0.3">
      <c r="A417" s="138" t="s">
        <v>264</v>
      </c>
      <c r="B417" s="12" t="s">
        <v>849</v>
      </c>
      <c r="C417" s="12" t="s">
        <v>261</v>
      </c>
      <c r="D417" s="68">
        <f>'В-25'!G382</f>
        <v>137.5</v>
      </c>
      <c r="E417" s="77"/>
    </row>
    <row r="418" spans="1:5" ht="138.75" customHeight="1" x14ac:dyDescent="0.3">
      <c r="A418" s="138" t="s">
        <v>320</v>
      </c>
      <c r="B418" s="12" t="s">
        <v>1142</v>
      </c>
      <c r="C418" s="12" t="s">
        <v>50</v>
      </c>
      <c r="D418" s="68">
        <f>D419+D421</f>
        <v>57.6</v>
      </c>
      <c r="E418" s="77"/>
    </row>
    <row r="419" spans="1:5" ht="37.5" hidden="1" x14ac:dyDescent="0.3">
      <c r="A419" s="169" t="s">
        <v>321</v>
      </c>
      <c r="B419" s="12" t="s">
        <v>324</v>
      </c>
      <c r="C419" s="12" t="s">
        <v>50</v>
      </c>
      <c r="D419" s="68">
        <f>D420</f>
        <v>0</v>
      </c>
      <c r="E419" s="77"/>
    </row>
    <row r="420" spans="1:5" ht="37.5" hidden="1" x14ac:dyDescent="0.3">
      <c r="A420" s="138" t="s">
        <v>425</v>
      </c>
      <c r="B420" s="12" t="s">
        <v>324</v>
      </c>
      <c r="C420" s="12" t="s">
        <v>59</v>
      </c>
      <c r="D420" s="68">
        <f>'[2]В-21'!G809</f>
        <v>0</v>
      </c>
      <c r="E420" s="77"/>
    </row>
    <row r="421" spans="1:5" ht="18.75" x14ac:dyDescent="0.3">
      <c r="A421" s="169" t="s">
        <v>322</v>
      </c>
      <c r="B421" s="12" t="s">
        <v>1142</v>
      </c>
      <c r="C421" s="12" t="s">
        <v>50</v>
      </c>
      <c r="D421" s="68">
        <f>D422</f>
        <v>57.6</v>
      </c>
      <c r="E421" s="77"/>
    </row>
    <row r="422" spans="1:5" ht="37.5" x14ac:dyDescent="0.3">
      <c r="A422" s="138" t="s">
        <v>425</v>
      </c>
      <c r="B422" s="12" t="s">
        <v>1142</v>
      </c>
      <c r="C422" s="12" t="s">
        <v>59</v>
      </c>
      <c r="D422" s="68">
        <f>'В-25'!G1455</f>
        <v>57.6</v>
      </c>
      <c r="E422" s="77"/>
    </row>
    <row r="423" spans="1:5" ht="97.5" customHeight="1" x14ac:dyDescent="0.3">
      <c r="A423" s="160" t="s">
        <v>612</v>
      </c>
      <c r="B423" s="34" t="s">
        <v>1140</v>
      </c>
      <c r="C423" s="34" t="s">
        <v>50</v>
      </c>
      <c r="D423" s="68">
        <f>D424</f>
        <v>10084.403969999999</v>
      </c>
      <c r="E423" s="77"/>
    </row>
    <row r="424" spans="1:5" ht="18.75" hidden="1" x14ac:dyDescent="0.3">
      <c r="A424" s="169" t="s">
        <v>323</v>
      </c>
      <c r="B424" s="34" t="s">
        <v>325</v>
      </c>
      <c r="C424" s="34" t="s">
        <v>50</v>
      </c>
      <c r="D424" s="68">
        <f>D425</f>
        <v>10084.403969999999</v>
      </c>
      <c r="E424" s="77"/>
    </row>
    <row r="425" spans="1:5" ht="37.5" x14ac:dyDescent="0.3">
      <c r="A425" s="138" t="s">
        <v>290</v>
      </c>
      <c r="B425" s="34" t="s">
        <v>1140</v>
      </c>
      <c r="C425" s="12" t="s">
        <v>291</v>
      </c>
      <c r="D425" s="68">
        <f>'В-25'!G1458</f>
        <v>10084.403969999999</v>
      </c>
      <c r="E425" s="77"/>
    </row>
    <row r="426" spans="1:5" ht="93.75" hidden="1" x14ac:dyDescent="0.3">
      <c r="A426" s="160" t="s">
        <v>612</v>
      </c>
      <c r="B426" s="89" t="s">
        <v>613</v>
      </c>
      <c r="C426" s="34" t="s">
        <v>50</v>
      </c>
      <c r="D426" s="68">
        <f>D427</f>
        <v>0</v>
      </c>
      <c r="E426" s="77"/>
    </row>
    <row r="427" spans="1:5" ht="37.5" hidden="1" x14ac:dyDescent="0.3">
      <c r="A427" s="138" t="s">
        <v>290</v>
      </c>
      <c r="B427" s="89" t="s">
        <v>613</v>
      </c>
      <c r="C427" s="12" t="s">
        <v>291</v>
      </c>
      <c r="D427" s="68">
        <f>'В-25'!G1460</f>
        <v>0</v>
      </c>
      <c r="E427" s="77"/>
    </row>
    <row r="428" spans="1:5" ht="58.5" hidden="1" x14ac:dyDescent="0.35">
      <c r="A428" s="172" t="s">
        <v>504</v>
      </c>
      <c r="B428" s="60" t="s">
        <v>520</v>
      </c>
      <c r="C428" s="60" t="s">
        <v>50</v>
      </c>
      <c r="D428" s="190">
        <f>D429</f>
        <v>0</v>
      </c>
      <c r="E428" s="77"/>
    </row>
    <row r="429" spans="1:5" ht="18.75" hidden="1" x14ac:dyDescent="0.3">
      <c r="A429" s="138" t="s">
        <v>62</v>
      </c>
      <c r="B429" s="12" t="s">
        <v>522</v>
      </c>
      <c r="C429" s="12" t="s">
        <v>50</v>
      </c>
      <c r="D429" s="68">
        <f>D430</f>
        <v>0</v>
      </c>
      <c r="E429" s="77"/>
    </row>
    <row r="430" spans="1:5" ht="18.75" hidden="1" x14ac:dyDescent="0.3">
      <c r="A430" s="138" t="s">
        <v>156</v>
      </c>
      <c r="B430" s="12" t="s">
        <v>535</v>
      </c>
      <c r="C430" s="12" t="s">
        <v>50</v>
      </c>
      <c r="D430" s="68">
        <f>D431</f>
        <v>0</v>
      </c>
      <c r="E430" s="77"/>
    </row>
    <row r="431" spans="1:5" ht="37.5" hidden="1" x14ac:dyDescent="0.3">
      <c r="A431" s="138" t="s">
        <v>425</v>
      </c>
      <c r="B431" s="12" t="s">
        <v>535</v>
      </c>
      <c r="C431" s="12" t="s">
        <v>59</v>
      </c>
      <c r="D431" s="68">
        <f>'В-25'!G1271</f>
        <v>0</v>
      </c>
      <c r="E431" s="77"/>
    </row>
    <row r="432" spans="1:5" ht="93.75" x14ac:dyDescent="0.3">
      <c r="A432" s="169" t="s">
        <v>612</v>
      </c>
      <c r="B432" s="34" t="s">
        <v>1145</v>
      </c>
      <c r="C432" s="34" t="s">
        <v>50</v>
      </c>
      <c r="D432" s="68">
        <f>D433</f>
        <v>1432.3960300000001</v>
      </c>
      <c r="E432" s="77"/>
    </row>
    <row r="433" spans="1:5" ht="18.75" x14ac:dyDescent="0.3">
      <c r="A433" s="169" t="s">
        <v>323</v>
      </c>
      <c r="B433" s="34" t="s">
        <v>1145</v>
      </c>
      <c r="C433" s="12" t="s">
        <v>291</v>
      </c>
      <c r="D433" s="68">
        <f>'В-25'!G1462</f>
        <v>1432.3960300000001</v>
      </c>
      <c r="E433" s="77"/>
    </row>
    <row r="434" spans="1:5" ht="19.5" x14ac:dyDescent="0.35">
      <c r="A434" s="172" t="s">
        <v>1149</v>
      </c>
      <c r="B434" s="60" t="s">
        <v>1146</v>
      </c>
      <c r="C434" s="60" t="s">
        <v>50</v>
      </c>
      <c r="D434" s="190">
        <f>D435+D438</f>
        <v>3033.18</v>
      </c>
      <c r="E434" s="77"/>
    </row>
    <row r="435" spans="1:5" ht="18.75" x14ac:dyDescent="0.3">
      <c r="A435" s="138" t="s">
        <v>62</v>
      </c>
      <c r="B435" s="12" t="s">
        <v>1147</v>
      </c>
      <c r="C435" s="12" t="s">
        <v>50</v>
      </c>
      <c r="D435" s="68">
        <f>D436</f>
        <v>5</v>
      </c>
      <c r="E435" s="77"/>
    </row>
    <row r="436" spans="1:5" ht="18.75" x14ac:dyDescent="0.3">
      <c r="A436" s="138" t="s">
        <v>156</v>
      </c>
      <c r="B436" s="12" t="s">
        <v>1148</v>
      </c>
      <c r="C436" s="12" t="s">
        <v>50</v>
      </c>
      <c r="D436" s="68">
        <f>D437</f>
        <v>5</v>
      </c>
      <c r="E436" s="77"/>
    </row>
    <row r="437" spans="1:5" ht="37.5" x14ac:dyDescent="0.3">
      <c r="A437" s="138" t="s">
        <v>425</v>
      </c>
      <c r="B437" s="12" t="s">
        <v>1148</v>
      </c>
      <c r="C437" s="12" t="s">
        <v>59</v>
      </c>
      <c r="D437" s="68">
        <f>'В-25'!G1277</f>
        <v>5</v>
      </c>
      <c r="E437" s="77"/>
    </row>
    <row r="438" spans="1:5" ht="37.5" x14ac:dyDescent="0.3">
      <c r="A438" s="232" t="s">
        <v>801</v>
      </c>
      <c r="B438" s="12" t="s">
        <v>1143</v>
      </c>
      <c r="C438" s="12" t="s">
        <v>50</v>
      </c>
      <c r="D438" s="68">
        <f>D439</f>
        <v>3028.18</v>
      </c>
      <c r="E438" s="77"/>
    </row>
    <row r="439" spans="1:5" ht="18.75" x14ac:dyDescent="0.3">
      <c r="A439" s="138" t="s">
        <v>175</v>
      </c>
      <c r="B439" s="12" t="s">
        <v>1143</v>
      </c>
      <c r="C439" s="12" t="s">
        <v>176</v>
      </c>
      <c r="D439" s="68">
        <f>D452</f>
        <v>3028.18</v>
      </c>
      <c r="E439" s="77"/>
    </row>
    <row r="440" spans="1:5" ht="19.5" x14ac:dyDescent="0.35">
      <c r="A440" s="172" t="s">
        <v>409</v>
      </c>
      <c r="B440" s="59" t="s">
        <v>450</v>
      </c>
      <c r="C440" s="60" t="s">
        <v>50</v>
      </c>
      <c r="D440" s="190">
        <f>D441+D446+D444</f>
        <v>1396.6000000000001</v>
      </c>
      <c r="E440" s="77"/>
    </row>
    <row r="441" spans="1:5" ht="18.75" hidden="1" x14ac:dyDescent="0.3">
      <c r="A441" s="138" t="s">
        <v>62</v>
      </c>
      <c r="B441" s="13" t="s">
        <v>502</v>
      </c>
      <c r="C441" s="12" t="s">
        <v>50</v>
      </c>
      <c r="D441" s="68">
        <f>D442</f>
        <v>0</v>
      </c>
      <c r="E441" s="77"/>
    </row>
    <row r="442" spans="1:5" ht="37.5" hidden="1" x14ac:dyDescent="0.3">
      <c r="A442" s="138" t="s">
        <v>451</v>
      </c>
      <c r="B442" s="13" t="s">
        <v>501</v>
      </c>
      <c r="C442" s="12" t="s">
        <v>50</v>
      </c>
      <c r="D442" s="68">
        <f>D443</f>
        <v>0</v>
      </c>
      <c r="E442" s="77"/>
    </row>
    <row r="443" spans="1:5" ht="37.5" hidden="1" x14ac:dyDescent="0.3">
      <c r="A443" s="138" t="s">
        <v>425</v>
      </c>
      <c r="B443" s="13" t="s">
        <v>501</v>
      </c>
      <c r="C443" s="12" t="s">
        <v>59</v>
      </c>
      <c r="D443" s="68">
        <f>'В-25'!G906</f>
        <v>0</v>
      </c>
      <c r="E443" s="77"/>
    </row>
    <row r="444" spans="1:5" ht="37.5" x14ac:dyDescent="0.3">
      <c r="A444" s="281" t="s">
        <v>168</v>
      </c>
      <c r="B444" s="89" t="s">
        <v>791</v>
      </c>
      <c r="C444" s="12" t="s">
        <v>50</v>
      </c>
      <c r="D444" s="68">
        <f>D445</f>
        <v>378.99999999999994</v>
      </c>
      <c r="E444" s="77"/>
    </row>
    <row r="445" spans="1:5" ht="37.5" x14ac:dyDescent="0.3">
      <c r="A445" s="138" t="s">
        <v>425</v>
      </c>
      <c r="B445" s="89" t="s">
        <v>791</v>
      </c>
      <c r="C445" s="12" t="s">
        <v>59</v>
      </c>
      <c r="D445" s="68">
        <f>'В-25'!G1465+'В-25'!G1428</f>
        <v>378.99999999999994</v>
      </c>
      <c r="E445" s="77"/>
    </row>
    <row r="446" spans="1:5" ht="18.75" x14ac:dyDescent="0.3">
      <c r="A446" s="173" t="s">
        <v>68</v>
      </c>
      <c r="B446" s="89" t="s">
        <v>627</v>
      </c>
      <c r="C446" s="12" t="s">
        <v>50</v>
      </c>
      <c r="D446" s="68">
        <f>D449+D447</f>
        <v>1017.6000000000001</v>
      </c>
      <c r="E446" s="77"/>
    </row>
    <row r="447" spans="1:5" ht="66.75" customHeight="1" x14ac:dyDescent="0.3">
      <c r="A447" s="224" t="s">
        <v>797</v>
      </c>
      <c r="B447" s="13" t="s">
        <v>819</v>
      </c>
      <c r="C447" s="12" t="s">
        <v>50</v>
      </c>
      <c r="D447" s="68">
        <f>D448</f>
        <v>1017.6000000000001</v>
      </c>
      <c r="E447" s="77"/>
    </row>
    <row r="448" spans="1:5" ht="37.5" x14ac:dyDescent="0.3">
      <c r="A448" s="138" t="s">
        <v>425</v>
      </c>
      <c r="B448" s="13" t="s">
        <v>819</v>
      </c>
      <c r="C448" s="12" t="s">
        <v>59</v>
      </c>
      <c r="D448" s="68">
        <f>'В-25'!G1426</f>
        <v>1017.6000000000001</v>
      </c>
      <c r="E448" s="77"/>
    </row>
    <row r="449" spans="1:5" ht="75" hidden="1" x14ac:dyDescent="0.3">
      <c r="A449" s="173" t="s">
        <v>628</v>
      </c>
      <c r="B449" s="89" t="s">
        <v>629</v>
      </c>
      <c r="C449" s="12" t="s">
        <v>50</v>
      </c>
      <c r="D449" s="68">
        <f>D450</f>
        <v>0</v>
      </c>
      <c r="E449" s="77"/>
    </row>
    <row r="450" spans="1:5" ht="18.75" hidden="1" x14ac:dyDescent="0.3">
      <c r="A450" s="138" t="s">
        <v>175</v>
      </c>
      <c r="B450" s="89" t="s">
        <v>629</v>
      </c>
      <c r="C450" s="12" t="s">
        <v>176</v>
      </c>
      <c r="D450" s="68">
        <f>'В-25'!G1470</f>
        <v>0</v>
      </c>
      <c r="E450" s="77"/>
    </row>
    <row r="451" spans="1:5" ht="37.5" hidden="1" x14ac:dyDescent="0.3">
      <c r="A451" s="232" t="s">
        <v>801</v>
      </c>
      <c r="B451" s="12" t="s">
        <v>1143</v>
      </c>
      <c r="C451" s="12" t="s">
        <v>50</v>
      </c>
      <c r="D451" s="68">
        <f>D452</f>
        <v>3028.18</v>
      </c>
      <c r="E451" s="77"/>
    </row>
    <row r="452" spans="1:5" ht="18.75" hidden="1" x14ac:dyDescent="0.3">
      <c r="A452" s="138" t="s">
        <v>175</v>
      </c>
      <c r="B452" s="12" t="s">
        <v>1143</v>
      </c>
      <c r="C452" s="12" t="s">
        <v>176</v>
      </c>
      <c r="D452" s="68">
        <f>'В-25'!G1483</f>
        <v>3028.18</v>
      </c>
      <c r="E452" s="77"/>
    </row>
    <row r="453" spans="1:5" ht="56.25" customHeight="1" x14ac:dyDescent="0.3">
      <c r="A453" s="164" t="s">
        <v>160</v>
      </c>
      <c r="B453" s="19" t="s">
        <v>95</v>
      </c>
      <c r="C453" s="7" t="s">
        <v>50</v>
      </c>
      <c r="D453" s="189">
        <f>D454+D464+D478+D486+D491+D495+D498+D500</f>
        <v>97951</v>
      </c>
      <c r="E453" s="77"/>
    </row>
    <row r="454" spans="1:5" ht="58.5" x14ac:dyDescent="0.35">
      <c r="A454" s="156" t="s">
        <v>4</v>
      </c>
      <c r="B454" s="59" t="s">
        <v>96</v>
      </c>
      <c r="C454" s="60" t="s">
        <v>50</v>
      </c>
      <c r="D454" s="190">
        <f>D455+D461</f>
        <v>4547.2000000000007</v>
      </c>
      <c r="E454" s="77"/>
    </row>
    <row r="455" spans="1:5" ht="42" customHeight="1" x14ac:dyDescent="0.3">
      <c r="A455" s="138" t="s">
        <v>52</v>
      </c>
      <c r="B455" s="12" t="s">
        <v>234</v>
      </c>
      <c r="C455" s="12" t="s">
        <v>50</v>
      </c>
      <c r="D455" s="68">
        <f>D456+D459</f>
        <v>2301.8000000000002</v>
      </c>
      <c r="E455" s="77"/>
    </row>
    <row r="456" spans="1:5" ht="18.75" x14ac:dyDescent="0.3">
      <c r="A456" s="138" t="s">
        <v>82</v>
      </c>
      <c r="B456" s="12" t="s">
        <v>235</v>
      </c>
      <c r="C456" s="12" t="s">
        <v>50</v>
      </c>
      <c r="D456" s="68">
        <f>D457+D458</f>
        <v>2245.4</v>
      </c>
      <c r="E456" s="77"/>
    </row>
    <row r="457" spans="1:5" ht="75" x14ac:dyDescent="0.3">
      <c r="A457" s="138" t="s">
        <v>56</v>
      </c>
      <c r="B457" s="12" t="s">
        <v>235</v>
      </c>
      <c r="C457" s="12" t="s">
        <v>57</v>
      </c>
      <c r="D457" s="68">
        <f>'В-25'!G648</f>
        <v>2147.4</v>
      </c>
      <c r="E457" s="77"/>
    </row>
    <row r="458" spans="1:5" ht="37.5" x14ac:dyDescent="0.3">
      <c r="A458" s="138" t="s">
        <v>425</v>
      </c>
      <c r="B458" s="12" t="s">
        <v>235</v>
      </c>
      <c r="C458" s="12" t="s">
        <v>59</v>
      </c>
      <c r="D458" s="68">
        <f>'В-25'!G649</f>
        <v>98</v>
      </c>
      <c r="E458" s="77"/>
    </row>
    <row r="459" spans="1:5" ht="37.5" x14ac:dyDescent="0.3">
      <c r="A459" s="157" t="s">
        <v>374</v>
      </c>
      <c r="B459" s="12" t="s">
        <v>512</v>
      </c>
      <c r="C459" s="12" t="s">
        <v>50</v>
      </c>
      <c r="D459" s="68">
        <f>D460</f>
        <v>56.4</v>
      </c>
      <c r="E459" s="77"/>
    </row>
    <row r="460" spans="1:5" ht="75" x14ac:dyDescent="0.3">
      <c r="A460" s="138" t="s">
        <v>56</v>
      </c>
      <c r="B460" s="12" t="s">
        <v>512</v>
      </c>
      <c r="C460" s="12" t="s">
        <v>57</v>
      </c>
      <c r="D460" s="68">
        <f>'В-25'!G651</f>
        <v>56.4</v>
      </c>
      <c r="E460" s="77"/>
    </row>
    <row r="461" spans="1:5" ht="56.25" x14ac:dyDescent="0.3">
      <c r="A461" s="138" t="s">
        <v>443</v>
      </c>
      <c r="B461" s="12" t="s">
        <v>444</v>
      </c>
      <c r="C461" s="12" t="s">
        <v>50</v>
      </c>
      <c r="D461" s="68">
        <f>D462+D463</f>
        <v>2245.4</v>
      </c>
      <c r="E461" s="77"/>
    </row>
    <row r="462" spans="1:5" ht="75" x14ac:dyDescent="0.3">
      <c r="A462" s="138" t="s">
        <v>56</v>
      </c>
      <c r="B462" s="12" t="s">
        <v>444</v>
      </c>
      <c r="C462" s="12" t="s">
        <v>57</v>
      </c>
      <c r="D462" s="68">
        <f>'В-25'!G645</f>
        <v>2167.9</v>
      </c>
      <c r="E462" s="77"/>
    </row>
    <row r="463" spans="1:5" ht="37.5" x14ac:dyDescent="0.3">
      <c r="A463" s="138" t="s">
        <v>425</v>
      </c>
      <c r="B463" s="12" t="s">
        <v>444</v>
      </c>
      <c r="C463" s="12" t="s">
        <v>59</v>
      </c>
      <c r="D463" s="68">
        <f>'В-25'!G646</f>
        <v>77.5</v>
      </c>
      <c r="E463" s="77"/>
    </row>
    <row r="464" spans="1:5" ht="65.25" customHeight="1" x14ac:dyDescent="0.35">
      <c r="A464" s="156" t="s">
        <v>5</v>
      </c>
      <c r="B464" s="59" t="s">
        <v>97</v>
      </c>
      <c r="C464" s="60" t="s">
        <v>50</v>
      </c>
      <c r="D464" s="190">
        <f>D465+D474+D476</f>
        <v>2944.4</v>
      </c>
      <c r="E464" s="77"/>
    </row>
    <row r="465" spans="1:5" ht="42.75" customHeight="1" x14ac:dyDescent="0.3">
      <c r="A465" s="138" t="s">
        <v>52</v>
      </c>
      <c r="B465" s="12" t="s">
        <v>237</v>
      </c>
      <c r="C465" s="12" t="s">
        <v>50</v>
      </c>
      <c r="D465" s="68">
        <f>D466+D470</f>
        <v>2944.4</v>
      </c>
      <c r="E465" s="77"/>
    </row>
    <row r="466" spans="1:5" ht="23.25" customHeight="1" x14ac:dyDescent="0.3">
      <c r="A466" s="138" t="s">
        <v>236</v>
      </c>
      <c r="B466" s="12" t="s">
        <v>238</v>
      </c>
      <c r="C466" s="12" t="s">
        <v>50</v>
      </c>
      <c r="D466" s="68">
        <f>D467+D468+D469+D472</f>
        <v>2913.3</v>
      </c>
      <c r="E466" s="77"/>
    </row>
    <row r="467" spans="1:5" ht="75" x14ac:dyDescent="0.3">
      <c r="A467" s="138" t="s">
        <v>56</v>
      </c>
      <c r="B467" s="12" t="s">
        <v>238</v>
      </c>
      <c r="C467" s="12" t="s">
        <v>57</v>
      </c>
      <c r="D467" s="68">
        <f>'В-25'!G655</f>
        <v>2444.9</v>
      </c>
      <c r="E467" s="77"/>
    </row>
    <row r="468" spans="1:5" ht="37.5" x14ac:dyDescent="0.3">
      <c r="A468" s="138" t="s">
        <v>425</v>
      </c>
      <c r="B468" s="12" t="s">
        <v>238</v>
      </c>
      <c r="C468" s="12" t="s">
        <v>59</v>
      </c>
      <c r="D468" s="68">
        <f>'В-25'!G656+'В-25'!G686</f>
        <v>425.9</v>
      </c>
      <c r="E468" s="77"/>
    </row>
    <row r="469" spans="1:5" ht="18.75" x14ac:dyDescent="0.3">
      <c r="A469" s="138" t="s">
        <v>60</v>
      </c>
      <c r="B469" s="12" t="s">
        <v>238</v>
      </c>
      <c r="C469" s="12" t="s">
        <v>61</v>
      </c>
      <c r="D469" s="68">
        <f>'В-25'!G657</f>
        <v>42.5</v>
      </c>
      <c r="E469" s="77"/>
    </row>
    <row r="470" spans="1:5" ht="30.75" customHeight="1" x14ac:dyDescent="0.3">
      <c r="A470" s="157" t="s">
        <v>374</v>
      </c>
      <c r="B470" s="12" t="s">
        <v>513</v>
      </c>
      <c r="C470" s="12" t="s">
        <v>50</v>
      </c>
      <c r="D470" s="68">
        <f>D471</f>
        <v>31.1</v>
      </c>
      <c r="E470" s="77"/>
    </row>
    <row r="471" spans="1:5" ht="75" x14ac:dyDescent="0.3">
      <c r="A471" s="138" t="s">
        <v>56</v>
      </c>
      <c r="B471" s="12" t="s">
        <v>513</v>
      </c>
      <c r="C471" s="12" t="s">
        <v>57</v>
      </c>
      <c r="D471" s="68">
        <f>'В-25'!G659</f>
        <v>31.1</v>
      </c>
      <c r="E471" s="77"/>
    </row>
    <row r="472" spans="1:5" ht="29.25" hidden="1" customHeight="1" x14ac:dyDescent="0.3">
      <c r="A472" s="157" t="s">
        <v>374</v>
      </c>
      <c r="B472" s="12" t="s">
        <v>715</v>
      </c>
      <c r="C472" s="12" t="s">
        <v>50</v>
      </c>
      <c r="D472" s="68">
        <f>D473</f>
        <v>0</v>
      </c>
      <c r="E472" s="77"/>
    </row>
    <row r="473" spans="1:5" ht="75" hidden="1" x14ac:dyDescent="0.3">
      <c r="A473" s="138" t="s">
        <v>56</v>
      </c>
      <c r="B473" s="12" t="s">
        <v>715</v>
      </c>
      <c r="C473" s="12" t="s">
        <v>57</v>
      </c>
      <c r="D473" s="68">
        <f>'В-25'!G664</f>
        <v>0</v>
      </c>
      <c r="E473" s="77"/>
    </row>
    <row r="474" spans="1:5" ht="37.5" hidden="1" x14ac:dyDescent="0.3">
      <c r="A474" s="138" t="s">
        <v>787</v>
      </c>
      <c r="B474" s="12" t="s">
        <v>788</v>
      </c>
      <c r="C474" s="12" t="s">
        <v>50</v>
      </c>
      <c r="D474" s="68">
        <f>D475</f>
        <v>0</v>
      </c>
      <c r="E474" s="77"/>
    </row>
    <row r="475" spans="1:5" ht="37.5" hidden="1" x14ac:dyDescent="0.3">
      <c r="A475" s="138" t="s">
        <v>425</v>
      </c>
      <c r="B475" s="12" t="s">
        <v>788</v>
      </c>
      <c r="C475" s="12" t="s">
        <v>59</v>
      </c>
      <c r="D475" s="68">
        <f>'В-25'!G688</f>
        <v>0</v>
      </c>
      <c r="E475" s="77"/>
    </row>
    <row r="476" spans="1:5" ht="37.5" hidden="1" x14ac:dyDescent="0.3">
      <c r="A476" s="138" t="s">
        <v>787</v>
      </c>
      <c r="B476" s="12" t="s">
        <v>789</v>
      </c>
      <c r="C476" s="12" t="s">
        <v>50</v>
      </c>
      <c r="D476" s="68">
        <f>D477</f>
        <v>0</v>
      </c>
      <c r="E476" s="77"/>
    </row>
    <row r="477" spans="1:5" ht="37.5" hidden="1" x14ac:dyDescent="0.3">
      <c r="A477" s="138" t="s">
        <v>425</v>
      </c>
      <c r="B477" s="12" t="s">
        <v>789</v>
      </c>
      <c r="C477" s="12" t="s">
        <v>59</v>
      </c>
      <c r="D477" s="68">
        <f>'В-25'!G690</f>
        <v>0</v>
      </c>
      <c r="E477" s="77"/>
    </row>
    <row r="478" spans="1:5" ht="58.5" x14ac:dyDescent="0.35">
      <c r="A478" s="174" t="s">
        <v>6</v>
      </c>
      <c r="B478" s="59" t="s">
        <v>98</v>
      </c>
      <c r="C478" s="60" t="s">
        <v>50</v>
      </c>
      <c r="D478" s="190">
        <f>D479+D482</f>
        <v>505</v>
      </c>
      <c r="E478" s="77"/>
    </row>
    <row r="479" spans="1:5" ht="18.75" x14ac:dyDescent="0.3">
      <c r="A479" s="138" t="s">
        <v>62</v>
      </c>
      <c r="B479" s="12" t="s">
        <v>298</v>
      </c>
      <c r="C479" s="12" t="s">
        <v>50</v>
      </c>
      <c r="D479" s="68">
        <f>D480</f>
        <v>505</v>
      </c>
      <c r="E479" s="77"/>
    </row>
    <row r="480" spans="1:5" ht="37.5" x14ac:dyDescent="0.3">
      <c r="A480" s="138" t="s">
        <v>297</v>
      </c>
      <c r="B480" s="12" t="s">
        <v>299</v>
      </c>
      <c r="C480" s="12" t="s">
        <v>50</v>
      </c>
      <c r="D480" s="68">
        <f>D481+D494</f>
        <v>505</v>
      </c>
      <c r="E480" s="77"/>
    </row>
    <row r="481" spans="1:5" ht="37.5" x14ac:dyDescent="0.3">
      <c r="A481" s="138" t="s">
        <v>425</v>
      </c>
      <c r="B481" s="12" t="s">
        <v>299</v>
      </c>
      <c r="C481" s="12" t="s">
        <v>59</v>
      </c>
      <c r="D481" s="68">
        <f>'В-25'!G1137+'В-25'!G1142</f>
        <v>484.28703999999999</v>
      </c>
      <c r="E481" s="77"/>
    </row>
    <row r="482" spans="1:5" ht="18.75" hidden="1" x14ac:dyDescent="0.3">
      <c r="A482" s="138" t="s">
        <v>393</v>
      </c>
      <c r="B482" s="12" t="s">
        <v>395</v>
      </c>
      <c r="C482" s="12" t="s">
        <v>50</v>
      </c>
      <c r="D482" s="68">
        <f>D483</f>
        <v>0</v>
      </c>
      <c r="E482" s="77"/>
    </row>
    <row r="483" spans="1:5" ht="18.75" hidden="1" x14ac:dyDescent="0.3">
      <c r="A483" s="138" t="s">
        <v>394</v>
      </c>
      <c r="B483" s="12" t="s">
        <v>620</v>
      </c>
      <c r="C483" s="12" t="s">
        <v>50</v>
      </c>
      <c r="D483" s="68">
        <f>D484</f>
        <v>0</v>
      </c>
      <c r="E483" s="77"/>
    </row>
    <row r="484" spans="1:5" ht="55.5" hidden="1" customHeight="1" x14ac:dyDescent="0.3">
      <c r="A484" s="138" t="s">
        <v>618</v>
      </c>
      <c r="B484" s="11" t="s">
        <v>619</v>
      </c>
      <c r="C484" s="12" t="s">
        <v>50</v>
      </c>
      <c r="D484" s="68">
        <f>D485</f>
        <v>0</v>
      </c>
      <c r="E484" s="77"/>
    </row>
    <row r="485" spans="1:5" ht="36.75" hidden="1" customHeight="1" x14ac:dyDescent="0.3">
      <c r="A485" s="138" t="s">
        <v>425</v>
      </c>
      <c r="B485" s="11" t="s">
        <v>619</v>
      </c>
      <c r="C485" s="12" t="s">
        <v>59</v>
      </c>
      <c r="D485" s="68">
        <f>'В-25'!G1146</f>
        <v>0</v>
      </c>
      <c r="E485" s="77"/>
    </row>
    <row r="486" spans="1:5" ht="56.25" hidden="1" outlineLevel="1" x14ac:dyDescent="0.3">
      <c r="A486" s="175" t="s">
        <v>7</v>
      </c>
      <c r="B486" s="34" t="s">
        <v>27</v>
      </c>
      <c r="C486" s="12" t="s">
        <v>50</v>
      </c>
      <c r="D486" s="68">
        <f>D487</f>
        <v>0</v>
      </c>
      <c r="E486" s="77"/>
    </row>
    <row r="487" spans="1:5" ht="18.75" hidden="1" outlineLevel="1" x14ac:dyDescent="0.3">
      <c r="A487" s="138" t="s">
        <v>62</v>
      </c>
      <c r="B487" s="12" t="s">
        <v>241</v>
      </c>
      <c r="C487" s="12" t="s">
        <v>50</v>
      </c>
      <c r="D487" s="68">
        <f>D488</f>
        <v>0</v>
      </c>
      <c r="E487" s="77"/>
    </row>
    <row r="488" spans="1:5" ht="18.75" hidden="1" outlineLevel="1" x14ac:dyDescent="0.3">
      <c r="A488" s="138" t="s">
        <v>156</v>
      </c>
      <c r="B488" s="12" t="s">
        <v>242</v>
      </c>
      <c r="C488" s="12" t="s">
        <v>50</v>
      </c>
      <c r="D488" s="68">
        <f>D489+D490</f>
        <v>0</v>
      </c>
      <c r="E488" s="77"/>
    </row>
    <row r="489" spans="1:5" ht="75" hidden="1" outlineLevel="1" x14ac:dyDescent="0.3">
      <c r="A489" s="138" t="s">
        <v>56</v>
      </c>
      <c r="B489" s="12" t="s">
        <v>242</v>
      </c>
      <c r="C489" s="12" t="s">
        <v>57</v>
      </c>
      <c r="D489" s="68">
        <v>0</v>
      </c>
      <c r="E489" s="77"/>
    </row>
    <row r="490" spans="1:5" ht="18.75" hidden="1" outlineLevel="1" x14ac:dyDescent="0.3">
      <c r="A490" s="138" t="s">
        <v>58</v>
      </c>
      <c r="B490" s="12" t="s">
        <v>242</v>
      </c>
      <c r="C490" s="12" t="s">
        <v>59</v>
      </c>
      <c r="D490" s="68">
        <v>0</v>
      </c>
      <c r="E490" s="77"/>
    </row>
    <row r="491" spans="1:5" ht="19.5" hidden="1" outlineLevel="1" x14ac:dyDescent="0.35">
      <c r="A491" s="172" t="s">
        <v>409</v>
      </c>
      <c r="B491" s="60" t="s">
        <v>672</v>
      </c>
      <c r="C491" s="60" t="s">
        <v>50</v>
      </c>
      <c r="D491" s="190">
        <f>D492</f>
        <v>0</v>
      </c>
      <c r="E491" s="77"/>
    </row>
    <row r="492" spans="1:5" ht="18.75" hidden="1" outlineLevel="1" x14ac:dyDescent="0.3">
      <c r="A492" s="138" t="s">
        <v>673</v>
      </c>
      <c r="B492" s="12" t="s">
        <v>675</v>
      </c>
      <c r="C492" s="12" t="s">
        <v>50</v>
      </c>
      <c r="D492" s="68">
        <f>D493</f>
        <v>0</v>
      </c>
      <c r="E492" s="77"/>
    </row>
    <row r="493" spans="1:5" ht="23.25" hidden="1" customHeight="1" outlineLevel="1" x14ac:dyDescent="0.3">
      <c r="A493" s="138" t="s">
        <v>674</v>
      </c>
      <c r="B493" s="12" t="s">
        <v>676</v>
      </c>
      <c r="C493" s="12" t="s">
        <v>59</v>
      </c>
      <c r="D493" s="68">
        <f>'В-25'!G662</f>
        <v>0</v>
      </c>
      <c r="E493" s="77"/>
    </row>
    <row r="494" spans="1:5" ht="23.25" customHeight="1" outlineLevel="1" x14ac:dyDescent="0.3">
      <c r="A494" s="158" t="s">
        <v>60</v>
      </c>
      <c r="B494" s="12" t="s">
        <v>299</v>
      </c>
      <c r="C494" s="12" t="s">
        <v>61</v>
      </c>
      <c r="D494" s="68">
        <f>'В-25'!G1147</f>
        <v>20.712959999999999</v>
      </c>
      <c r="E494" s="77"/>
    </row>
    <row r="495" spans="1:5" ht="23.25" customHeight="1" outlineLevel="1" x14ac:dyDescent="0.35">
      <c r="A495" s="166" t="s">
        <v>409</v>
      </c>
      <c r="B495" s="59" t="s">
        <v>672</v>
      </c>
      <c r="C495" s="60" t="s">
        <v>50</v>
      </c>
      <c r="D495" s="190">
        <f>D496</f>
        <v>1796.5</v>
      </c>
      <c r="E495" s="77"/>
    </row>
    <row r="496" spans="1:5" ht="30" customHeight="1" outlineLevel="1" x14ac:dyDescent="0.3">
      <c r="A496" s="138" t="s">
        <v>793</v>
      </c>
      <c r="B496" s="12" t="s">
        <v>792</v>
      </c>
      <c r="C496" s="12" t="s">
        <v>50</v>
      </c>
      <c r="D496" s="68">
        <f>D497</f>
        <v>1796.5</v>
      </c>
      <c r="E496" s="77"/>
    </row>
    <row r="497" spans="1:6" ht="40.5" customHeight="1" outlineLevel="1" x14ac:dyDescent="0.3">
      <c r="A497" s="138" t="s">
        <v>425</v>
      </c>
      <c r="B497" s="12" t="s">
        <v>792</v>
      </c>
      <c r="C497" s="12" t="s">
        <v>59</v>
      </c>
      <c r="D497" s="68">
        <f>'В-25'!G666</f>
        <v>1796.5</v>
      </c>
      <c r="E497" s="77"/>
    </row>
    <row r="498" spans="1:6" ht="40.5" customHeight="1" outlineLevel="1" x14ac:dyDescent="0.3">
      <c r="A498" s="138" t="s">
        <v>817</v>
      </c>
      <c r="B498" s="12" t="s">
        <v>818</v>
      </c>
      <c r="C498" s="12" t="s">
        <v>50</v>
      </c>
      <c r="D498" s="68">
        <f>D499</f>
        <v>87275.9</v>
      </c>
      <c r="E498" s="77"/>
    </row>
    <row r="499" spans="1:6" ht="40.5" customHeight="1" outlineLevel="1" x14ac:dyDescent="0.3">
      <c r="A499" s="138" t="s">
        <v>290</v>
      </c>
      <c r="B499" s="12" t="s">
        <v>818</v>
      </c>
      <c r="C499" s="12" t="s">
        <v>291</v>
      </c>
      <c r="D499" s="68">
        <f>'В-25'!G668</f>
        <v>87275.9</v>
      </c>
      <c r="E499" s="77"/>
    </row>
    <row r="500" spans="1:6" ht="40.5" customHeight="1" outlineLevel="1" x14ac:dyDescent="0.3">
      <c r="A500" s="138" t="s">
        <v>817</v>
      </c>
      <c r="B500" s="12" t="s">
        <v>821</v>
      </c>
      <c r="C500" s="12" t="s">
        <v>50</v>
      </c>
      <c r="D500" s="68">
        <f>D501</f>
        <v>882</v>
      </c>
      <c r="E500" s="77"/>
    </row>
    <row r="501" spans="1:6" ht="40.5" customHeight="1" outlineLevel="1" x14ac:dyDescent="0.3">
      <c r="A501" s="138" t="s">
        <v>290</v>
      </c>
      <c r="B501" s="12" t="s">
        <v>821</v>
      </c>
      <c r="C501" s="12" t="s">
        <v>291</v>
      </c>
      <c r="D501" s="68">
        <f>'В-25'!G670</f>
        <v>882</v>
      </c>
      <c r="E501" s="77"/>
    </row>
    <row r="502" spans="1:6" ht="39" customHeight="1" x14ac:dyDescent="0.3">
      <c r="A502" s="164" t="s">
        <v>161</v>
      </c>
      <c r="B502" s="19" t="s">
        <v>99</v>
      </c>
      <c r="C502" s="7" t="s">
        <v>50</v>
      </c>
      <c r="D502" s="189">
        <f>D503+D546+D561+D590+D782</f>
        <v>273559.21844000003</v>
      </c>
      <c r="E502" s="77"/>
    </row>
    <row r="503" spans="1:6" ht="39" x14ac:dyDescent="0.35">
      <c r="A503" s="156" t="s">
        <v>8</v>
      </c>
      <c r="B503" s="59" t="s">
        <v>100</v>
      </c>
      <c r="C503" s="60" t="s">
        <v>50</v>
      </c>
      <c r="D503" s="190">
        <f>D504+D515+D534+D518+D537+D513+D528+D533+D520+D522</f>
        <v>157406</v>
      </c>
      <c r="E503" s="77"/>
      <c r="F503" s="215"/>
    </row>
    <row r="504" spans="1:6" ht="18.75" x14ac:dyDescent="0.3">
      <c r="A504" s="138" t="s">
        <v>248</v>
      </c>
      <c r="B504" s="12" t="s">
        <v>959</v>
      </c>
      <c r="C504" s="12" t="s">
        <v>50</v>
      </c>
      <c r="D504" s="68">
        <f>D505+D511+D507+D509</f>
        <v>39329.9</v>
      </c>
      <c r="E504" s="77"/>
      <c r="F504" s="215"/>
    </row>
    <row r="505" spans="1:6" ht="18.75" x14ac:dyDescent="0.3">
      <c r="A505" s="138" t="s">
        <v>963</v>
      </c>
      <c r="B505" s="12" t="s">
        <v>960</v>
      </c>
      <c r="C505" s="12" t="s">
        <v>50</v>
      </c>
      <c r="D505" s="68">
        <f>D506</f>
        <v>37290.199999999997</v>
      </c>
      <c r="E505" s="77"/>
    </row>
    <row r="506" spans="1:6" ht="37.5" x14ac:dyDescent="0.3">
      <c r="A506" s="138" t="s">
        <v>425</v>
      </c>
      <c r="B506" s="12" t="s">
        <v>960</v>
      </c>
      <c r="C506" s="12" t="s">
        <v>59</v>
      </c>
      <c r="D506" s="68">
        <f>'В-25'!G727</f>
        <v>37290.199999999997</v>
      </c>
      <c r="E506" s="77"/>
    </row>
    <row r="507" spans="1:6" ht="37.5" x14ac:dyDescent="0.3">
      <c r="A507" s="138" t="s">
        <v>964</v>
      </c>
      <c r="B507" s="12" t="s">
        <v>962</v>
      </c>
      <c r="C507" s="12" t="s">
        <v>50</v>
      </c>
      <c r="D507" s="68">
        <f>D508</f>
        <v>1173.4000000000001</v>
      </c>
      <c r="E507" s="77"/>
    </row>
    <row r="508" spans="1:6" ht="37.5" x14ac:dyDescent="0.3">
      <c r="A508" s="138" t="s">
        <v>425</v>
      </c>
      <c r="B508" s="12" t="s">
        <v>962</v>
      </c>
      <c r="C508" s="12" t="s">
        <v>59</v>
      </c>
      <c r="D508" s="68">
        <f>'В-25'!G731</f>
        <v>1173.4000000000001</v>
      </c>
      <c r="E508" s="77"/>
    </row>
    <row r="509" spans="1:6" ht="37.5" x14ac:dyDescent="0.3">
      <c r="A509" s="138" t="s">
        <v>965</v>
      </c>
      <c r="B509" s="12" t="s">
        <v>961</v>
      </c>
      <c r="C509" s="12" t="s">
        <v>50</v>
      </c>
      <c r="D509" s="68">
        <f>D510</f>
        <v>756</v>
      </c>
      <c r="E509" s="77"/>
    </row>
    <row r="510" spans="1:6" ht="37.5" x14ac:dyDescent="0.3">
      <c r="A510" s="138" t="s">
        <v>425</v>
      </c>
      <c r="B510" s="12" t="s">
        <v>961</v>
      </c>
      <c r="C510" s="12" t="s">
        <v>59</v>
      </c>
      <c r="D510" s="68">
        <f>'В-25'!G733</f>
        <v>756</v>
      </c>
      <c r="E510" s="77"/>
    </row>
    <row r="511" spans="1:6" ht="18.75" x14ac:dyDescent="0.3">
      <c r="A511" s="138" t="s">
        <v>64</v>
      </c>
      <c r="B511" s="12" t="s">
        <v>785</v>
      </c>
      <c r="C511" s="12" t="s">
        <v>50</v>
      </c>
      <c r="D511" s="68">
        <f>D512</f>
        <v>110.3</v>
      </c>
      <c r="E511" s="77"/>
    </row>
    <row r="512" spans="1:6" ht="37.5" x14ac:dyDescent="0.3">
      <c r="A512" s="138" t="s">
        <v>425</v>
      </c>
      <c r="B512" s="12" t="s">
        <v>785</v>
      </c>
      <c r="C512" s="12" t="s">
        <v>59</v>
      </c>
      <c r="D512" s="68">
        <f>'В-25'!G729</f>
        <v>110.3</v>
      </c>
      <c r="E512" s="77"/>
    </row>
    <row r="513" spans="1:5" ht="48" hidden="1" customHeight="1" x14ac:dyDescent="0.3">
      <c r="A513" s="280" t="s">
        <v>495</v>
      </c>
      <c r="B513" s="13" t="s">
        <v>496</v>
      </c>
      <c r="C513" s="12" t="s">
        <v>50</v>
      </c>
      <c r="D513" s="68">
        <f>D514</f>
        <v>0</v>
      </c>
      <c r="E513" s="77"/>
    </row>
    <row r="514" spans="1:5" ht="34.5" hidden="1" customHeight="1" x14ac:dyDescent="0.3">
      <c r="A514" s="138" t="s">
        <v>60</v>
      </c>
      <c r="B514" s="13" t="s">
        <v>474</v>
      </c>
      <c r="C514" s="12" t="s">
        <v>61</v>
      </c>
      <c r="D514" s="68">
        <f>'В-25'!G564</f>
        <v>0</v>
      </c>
      <c r="E514" s="77"/>
    </row>
    <row r="515" spans="1:5" ht="56.25" x14ac:dyDescent="0.3">
      <c r="A515" s="138" t="s">
        <v>249</v>
      </c>
      <c r="B515" s="12" t="s">
        <v>868</v>
      </c>
      <c r="C515" s="12" t="s">
        <v>50</v>
      </c>
      <c r="D515" s="68">
        <f>D516+D526+D530</f>
        <v>77254</v>
      </c>
      <c r="E515" s="77"/>
    </row>
    <row r="516" spans="1:5" ht="37.5" x14ac:dyDescent="0.3">
      <c r="A516" s="138" t="s">
        <v>250</v>
      </c>
      <c r="B516" s="257" t="s">
        <v>1136</v>
      </c>
      <c r="C516" s="12" t="s">
        <v>50</v>
      </c>
      <c r="D516" s="68">
        <f>D517</f>
        <v>2289</v>
      </c>
      <c r="E516" s="77"/>
    </row>
    <row r="517" spans="1:5" ht="37.5" x14ac:dyDescent="0.3">
      <c r="A517" s="138" t="s">
        <v>425</v>
      </c>
      <c r="B517" s="257" t="s">
        <v>1136</v>
      </c>
      <c r="C517" s="12" t="s">
        <v>59</v>
      </c>
      <c r="D517" s="68">
        <f>'В-25'!G736</f>
        <v>2289</v>
      </c>
      <c r="E517" s="77"/>
    </row>
    <row r="518" spans="1:5" ht="37.5" x14ac:dyDescent="0.3">
      <c r="A518" s="138" t="s">
        <v>250</v>
      </c>
      <c r="B518" s="257" t="s">
        <v>1137</v>
      </c>
      <c r="C518" s="12" t="s">
        <v>50</v>
      </c>
      <c r="D518" s="68">
        <f>D519</f>
        <v>24</v>
      </c>
      <c r="E518" s="77"/>
    </row>
    <row r="519" spans="1:5" ht="37.5" x14ac:dyDescent="0.3">
      <c r="A519" s="138" t="s">
        <v>425</v>
      </c>
      <c r="B519" s="257" t="s">
        <v>1137</v>
      </c>
      <c r="C519" s="12" t="s">
        <v>59</v>
      </c>
      <c r="D519" s="68">
        <f>'В-25'!G738</f>
        <v>24</v>
      </c>
      <c r="E519" s="77"/>
    </row>
    <row r="520" spans="1:5" ht="56.25" x14ac:dyDescent="0.3">
      <c r="A520" s="224" t="s">
        <v>978</v>
      </c>
      <c r="B520" s="257" t="s">
        <v>976</v>
      </c>
      <c r="C520" s="12" t="s">
        <v>50</v>
      </c>
      <c r="D520" s="68">
        <f>D521</f>
        <v>40000</v>
      </c>
      <c r="E520" s="77"/>
    </row>
    <row r="521" spans="1:5" ht="37.5" x14ac:dyDescent="0.3">
      <c r="A521" s="138" t="s">
        <v>425</v>
      </c>
      <c r="B521" s="257" t="s">
        <v>976</v>
      </c>
      <c r="C521" s="12" t="s">
        <v>59</v>
      </c>
      <c r="D521" s="68">
        <f>'В-25'!G740</f>
        <v>40000</v>
      </c>
      <c r="E521" s="77"/>
    </row>
    <row r="522" spans="1:5" ht="56.25" x14ac:dyDescent="0.3">
      <c r="A522" s="224" t="s">
        <v>978</v>
      </c>
      <c r="B522" s="257" t="s">
        <v>977</v>
      </c>
      <c r="C522" s="12" t="s">
        <v>50</v>
      </c>
      <c r="D522" s="68">
        <f>D523</f>
        <v>40.1</v>
      </c>
      <c r="E522" s="77"/>
    </row>
    <row r="523" spans="1:5" ht="37.5" x14ac:dyDescent="0.3">
      <c r="A523" s="138" t="s">
        <v>425</v>
      </c>
      <c r="B523" s="257" t="s">
        <v>977</v>
      </c>
      <c r="C523" s="12" t="s">
        <v>59</v>
      </c>
      <c r="D523" s="68">
        <f>'В-25'!G742</f>
        <v>40.1</v>
      </c>
      <c r="E523" s="77"/>
    </row>
    <row r="524" spans="1:5" ht="18.75" x14ac:dyDescent="0.3">
      <c r="A524" s="160" t="s">
        <v>951</v>
      </c>
      <c r="B524" s="257" t="s">
        <v>952</v>
      </c>
      <c r="C524" s="12" t="s">
        <v>50</v>
      </c>
      <c r="D524" s="68">
        <f>D525</f>
        <v>75723</v>
      </c>
      <c r="E524" s="77"/>
    </row>
    <row r="525" spans="1:5" ht="18.75" x14ac:dyDescent="0.3">
      <c r="A525" s="160" t="s">
        <v>814</v>
      </c>
      <c r="B525" s="257" t="s">
        <v>953</v>
      </c>
      <c r="C525" s="12" t="s">
        <v>50</v>
      </c>
      <c r="D525" s="68">
        <f>D526+D528</f>
        <v>75723</v>
      </c>
      <c r="E525" s="77"/>
    </row>
    <row r="526" spans="1:5" ht="56.25" x14ac:dyDescent="0.3">
      <c r="A526" s="160" t="s">
        <v>950</v>
      </c>
      <c r="B526" s="257" t="s">
        <v>1163</v>
      </c>
      <c r="C526" s="12" t="s">
        <v>50</v>
      </c>
      <c r="D526" s="68">
        <f>D527</f>
        <v>74965</v>
      </c>
      <c r="E526" s="77"/>
    </row>
    <row r="527" spans="1:5" ht="37.5" x14ac:dyDescent="0.3">
      <c r="A527" s="138" t="s">
        <v>425</v>
      </c>
      <c r="B527" s="257" t="s">
        <v>1163</v>
      </c>
      <c r="C527" s="12" t="s">
        <v>59</v>
      </c>
      <c r="D527" s="68">
        <f>'В-25'!G746</f>
        <v>74965</v>
      </c>
      <c r="E527" s="77"/>
    </row>
    <row r="528" spans="1:5" ht="56.25" x14ac:dyDescent="0.3">
      <c r="A528" s="160" t="s">
        <v>950</v>
      </c>
      <c r="B528" s="108" t="s">
        <v>1164</v>
      </c>
      <c r="C528" s="12" t="s">
        <v>50</v>
      </c>
      <c r="D528" s="68">
        <f>D529</f>
        <v>758</v>
      </c>
      <c r="E528" s="77"/>
    </row>
    <row r="529" spans="1:5" ht="37.5" x14ac:dyDescent="0.3">
      <c r="A529" s="138" t="s">
        <v>425</v>
      </c>
      <c r="B529" s="108" t="s">
        <v>1164</v>
      </c>
      <c r="C529" s="12" t="s">
        <v>59</v>
      </c>
      <c r="D529" s="68">
        <f>'В-25'!G748</f>
        <v>758</v>
      </c>
      <c r="E529" s="77"/>
    </row>
    <row r="530" spans="1:5" ht="37.5" hidden="1" x14ac:dyDescent="0.3">
      <c r="A530" s="138" t="s">
        <v>686</v>
      </c>
      <c r="B530" s="12" t="s">
        <v>915</v>
      </c>
      <c r="C530" s="12" t="s">
        <v>50</v>
      </c>
      <c r="D530" s="68">
        <f>D531</f>
        <v>0</v>
      </c>
      <c r="E530" s="77"/>
    </row>
    <row r="531" spans="1:5" ht="37.5" hidden="1" x14ac:dyDescent="0.3">
      <c r="A531" s="138" t="s">
        <v>425</v>
      </c>
      <c r="B531" s="12" t="s">
        <v>915</v>
      </c>
      <c r="C531" s="12" t="s">
        <v>59</v>
      </c>
      <c r="D531" s="68">
        <f>'В-25'!G750</f>
        <v>0</v>
      </c>
      <c r="E531" s="77"/>
    </row>
    <row r="532" spans="1:5" ht="37.5" hidden="1" x14ac:dyDescent="0.3">
      <c r="A532" s="138" t="s">
        <v>686</v>
      </c>
      <c r="B532" s="12" t="s">
        <v>914</v>
      </c>
      <c r="C532" s="12" t="s">
        <v>50</v>
      </c>
      <c r="D532" s="68">
        <f>D533</f>
        <v>0</v>
      </c>
      <c r="E532" s="77"/>
    </row>
    <row r="533" spans="1:5" ht="37.5" hidden="1" x14ac:dyDescent="0.3">
      <c r="A533" s="138" t="s">
        <v>425</v>
      </c>
      <c r="B533" s="12" t="s">
        <v>914</v>
      </c>
      <c r="C533" s="12" t="s">
        <v>59</v>
      </c>
      <c r="D533" s="68">
        <f>'В-25'!G752</f>
        <v>0</v>
      </c>
      <c r="E533" s="77"/>
    </row>
    <row r="534" spans="1:5" ht="18.75" hidden="1" x14ac:dyDescent="0.3">
      <c r="A534" s="138" t="s">
        <v>68</v>
      </c>
      <c r="B534" s="12" t="s">
        <v>370</v>
      </c>
      <c r="C534" s="12" t="s">
        <v>50</v>
      </c>
      <c r="D534" s="68">
        <f>D535</f>
        <v>0</v>
      </c>
      <c r="E534" s="77"/>
    </row>
    <row r="535" spans="1:5" ht="56.25" hidden="1" x14ac:dyDescent="0.3">
      <c r="A535" s="138" t="s">
        <v>369</v>
      </c>
      <c r="B535" s="12" t="s">
        <v>371</v>
      </c>
      <c r="C535" s="12" t="s">
        <v>50</v>
      </c>
      <c r="D535" s="68">
        <f>D536</f>
        <v>0</v>
      </c>
      <c r="E535" s="77"/>
    </row>
    <row r="536" spans="1:5" ht="37.5" hidden="1" x14ac:dyDescent="0.3">
      <c r="A536" s="138" t="s">
        <v>425</v>
      </c>
      <c r="B536" s="12" t="s">
        <v>371</v>
      </c>
      <c r="C536" s="12" t="s">
        <v>59</v>
      </c>
      <c r="D536" s="68">
        <f>'В-25'!G755</f>
        <v>0</v>
      </c>
      <c r="E536" s="77"/>
    </row>
    <row r="537" spans="1:5" ht="37.5" hidden="1" x14ac:dyDescent="0.3">
      <c r="A537" s="138" t="s">
        <v>462</v>
      </c>
      <c r="B537" s="12" t="s">
        <v>463</v>
      </c>
      <c r="C537" s="12" t="s">
        <v>50</v>
      </c>
      <c r="D537" s="68">
        <f>D541+D538</f>
        <v>0</v>
      </c>
      <c r="E537" s="77"/>
    </row>
    <row r="538" spans="1:5" ht="18.75" hidden="1" x14ac:dyDescent="0.3">
      <c r="A538" s="176" t="s">
        <v>365</v>
      </c>
      <c r="B538" s="12" t="s">
        <v>367</v>
      </c>
      <c r="C538" s="12" t="s">
        <v>50</v>
      </c>
      <c r="D538" s="68">
        <f>D539+D544</f>
        <v>0</v>
      </c>
      <c r="E538" s="77"/>
    </row>
    <row r="539" spans="1:5" ht="37.5" hidden="1" x14ac:dyDescent="0.3">
      <c r="A539" s="176" t="s">
        <v>366</v>
      </c>
      <c r="B539" s="12" t="s">
        <v>516</v>
      </c>
      <c r="C539" s="12" t="s">
        <v>50</v>
      </c>
      <c r="D539" s="68">
        <f>D540</f>
        <v>0</v>
      </c>
      <c r="E539" s="77"/>
    </row>
    <row r="540" spans="1:5" ht="37.5" hidden="1" x14ac:dyDescent="0.3">
      <c r="A540" s="138" t="s">
        <v>425</v>
      </c>
      <c r="B540" s="12" t="s">
        <v>516</v>
      </c>
      <c r="C540" s="12" t="s">
        <v>59</v>
      </c>
      <c r="D540" s="68">
        <f>'В-25'!G759</f>
        <v>0</v>
      </c>
      <c r="E540" s="77"/>
    </row>
    <row r="541" spans="1:5" ht="37.5" hidden="1" x14ac:dyDescent="0.3">
      <c r="A541" s="138" t="s">
        <v>461</v>
      </c>
      <c r="B541" s="12" t="s">
        <v>464</v>
      </c>
      <c r="C541" s="12" t="s">
        <v>50</v>
      </c>
      <c r="D541" s="68">
        <f>D542</f>
        <v>0</v>
      </c>
      <c r="E541" s="77"/>
    </row>
    <row r="542" spans="1:5" ht="56.25" hidden="1" x14ac:dyDescent="0.3">
      <c r="A542" s="138" t="s">
        <v>369</v>
      </c>
      <c r="B542" s="12" t="s">
        <v>465</v>
      </c>
      <c r="C542" s="12" t="s">
        <v>50</v>
      </c>
      <c r="D542" s="68">
        <f>D543</f>
        <v>0</v>
      </c>
      <c r="E542" s="77"/>
    </row>
    <row r="543" spans="1:5" ht="37.5" hidden="1" x14ac:dyDescent="0.3">
      <c r="A543" s="138" t="s">
        <v>425</v>
      </c>
      <c r="B543" s="12" t="s">
        <v>465</v>
      </c>
      <c r="C543" s="12" t="s">
        <v>59</v>
      </c>
      <c r="D543" s="68">
        <f>'[2]В-21'!G500</f>
        <v>0</v>
      </c>
      <c r="E543" s="77"/>
    </row>
    <row r="544" spans="1:5" ht="56.25" hidden="1" x14ac:dyDescent="0.3">
      <c r="A544" s="138" t="s">
        <v>616</v>
      </c>
      <c r="B544" s="42" t="s">
        <v>615</v>
      </c>
      <c r="C544" s="42" t="s">
        <v>50</v>
      </c>
      <c r="D544" s="68">
        <f>D545</f>
        <v>0</v>
      </c>
      <c r="E544" s="77"/>
    </row>
    <row r="545" spans="1:5" ht="18.75" hidden="1" x14ac:dyDescent="0.3">
      <c r="A545" s="138" t="s">
        <v>58</v>
      </c>
      <c r="B545" s="42" t="s">
        <v>615</v>
      </c>
      <c r="C545" s="42" t="s">
        <v>59</v>
      </c>
      <c r="D545" s="68">
        <f>'В-25'!G787</f>
        <v>0</v>
      </c>
      <c r="E545" s="77"/>
    </row>
    <row r="546" spans="1:5" ht="57.75" customHeight="1" x14ac:dyDescent="0.35">
      <c r="A546" s="156" t="s">
        <v>9</v>
      </c>
      <c r="B546" s="59" t="s">
        <v>101</v>
      </c>
      <c r="C546" s="60" t="s">
        <v>50</v>
      </c>
      <c r="D546" s="190">
        <f>D547+D559+D557</f>
        <v>4591.3212299999996</v>
      </c>
      <c r="E546" s="77"/>
    </row>
    <row r="547" spans="1:5" ht="18.75" x14ac:dyDescent="0.3">
      <c r="A547" s="138" t="s">
        <v>62</v>
      </c>
      <c r="B547" s="12" t="s">
        <v>268</v>
      </c>
      <c r="C547" s="12" t="s">
        <v>50</v>
      </c>
      <c r="D547" s="68">
        <f>D548+D551+D553+D555</f>
        <v>4585.3212299999996</v>
      </c>
      <c r="E547" s="77"/>
    </row>
    <row r="548" spans="1:5" ht="37.5" x14ac:dyDescent="0.3">
      <c r="A548" s="138" t="s">
        <v>276</v>
      </c>
      <c r="B548" s="12" t="s">
        <v>277</v>
      </c>
      <c r="C548" s="12" t="s">
        <v>50</v>
      </c>
      <c r="D548" s="68">
        <f>D549+D550</f>
        <v>3918.32123</v>
      </c>
      <c r="E548" s="77"/>
    </row>
    <row r="549" spans="1:5" ht="37.5" x14ac:dyDescent="0.3">
      <c r="A549" s="138" t="s">
        <v>425</v>
      </c>
      <c r="B549" s="12" t="s">
        <v>277</v>
      </c>
      <c r="C549" s="12" t="s">
        <v>59</v>
      </c>
      <c r="D549" s="68">
        <f>'В-25'!G911+'В-25'!G933</f>
        <v>3418.32123</v>
      </c>
      <c r="E549" s="77"/>
    </row>
    <row r="550" spans="1:5" ht="18.75" x14ac:dyDescent="0.3">
      <c r="A550" s="158" t="s">
        <v>60</v>
      </c>
      <c r="B550" s="12" t="s">
        <v>277</v>
      </c>
      <c r="C550" s="12" t="s">
        <v>61</v>
      </c>
      <c r="D550" s="68">
        <f>'В-25'!G938</f>
        <v>500</v>
      </c>
      <c r="E550" s="77"/>
    </row>
    <row r="551" spans="1:5" ht="75" x14ac:dyDescent="0.3">
      <c r="A551" s="138" t="s">
        <v>278</v>
      </c>
      <c r="B551" s="12" t="s">
        <v>279</v>
      </c>
      <c r="C551" s="12" t="s">
        <v>50</v>
      </c>
      <c r="D551" s="68">
        <f>D552</f>
        <v>0</v>
      </c>
      <c r="E551" s="77"/>
    </row>
    <row r="552" spans="1:5" ht="37.5" x14ac:dyDescent="0.3">
      <c r="A552" s="138" t="s">
        <v>425</v>
      </c>
      <c r="B552" s="12" t="s">
        <v>279</v>
      </c>
      <c r="C552" s="12" t="s">
        <v>59</v>
      </c>
      <c r="D552" s="68">
        <f>'[2]В-21'!G568</f>
        <v>0</v>
      </c>
      <c r="E552" s="77"/>
    </row>
    <row r="553" spans="1:5" ht="18.75" x14ac:dyDescent="0.3">
      <c r="A553" s="138" t="s">
        <v>655</v>
      </c>
      <c r="B553" s="12" t="s">
        <v>654</v>
      </c>
      <c r="C553" s="12" t="s">
        <v>50</v>
      </c>
      <c r="D553" s="68">
        <f>D554</f>
        <v>0</v>
      </c>
      <c r="E553" s="77"/>
    </row>
    <row r="554" spans="1:5" ht="18.75" x14ac:dyDescent="0.3">
      <c r="A554" s="138" t="s">
        <v>58</v>
      </c>
      <c r="B554" s="12" t="s">
        <v>654</v>
      </c>
      <c r="C554" s="12" t="s">
        <v>59</v>
      </c>
      <c r="D554" s="68">
        <f>'В-25'!G935</f>
        <v>0</v>
      </c>
      <c r="E554" s="77"/>
    </row>
    <row r="555" spans="1:5" ht="56.25" x14ac:dyDescent="0.3">
      <c r="A555" s="138" t="s">
        <v>966</v>
      </c>
      <c r="B555" s="106" t="s">
        <v>967</v>
      </c>
      <c r="C555" s="106" t="s">
        <v>50</v>
      </c>
      <c r="D555" s="68">
        <f>D556</f>
        <v>667</v>
      </c>
      <c r="E555" s="77"/>
    </row>
    <row r="556" spans="1:5" ht="18.75" x14ac:dyDescent="0.3">
      <c r="A556" s="138" t="s">
        <v>58</v>
      </c>
      <c r="B556" s="106" t="s">
        <v>967</v>
      </c>
      <c r="C556" s="106" t="s">
        <v>59</v>
      </c>
      <c r="D556" s="68">
        <f>'В-25'!G953</f>
        <v>667</v>
      </c>
      <c r="E556" s="77"/>
    </row>
    <row r="557" spans="1:5" ht="57" customHeight="1" x14ac:dyDescent="0.3">
      <c r="A557" s="280" t="s">
        <v>495</v>
      </c>
      <c r="B557" s="13" t="s">
        <v>494</v>
      </c>
      <c r="C557" s="12" t="s">
        <v>50</v>
      </c>
      <c r="D557" s="68">
        <f>D558</f>
        <v>6</v>
      </c>
      <c r="E557" s="77"/>
    </row>
    <row r="558" spans="1:5" ht="21" customHeight="1" x14ac:dyDescent="0.3">
      <c r="A558" s="138" t="s">
        <v>60</v>
      </c>
      <c r="B558" s="13" t="s">
        <v>494</v>
      </c>
      <c r="C558" s="12" t="s">
        <v>61</v>
      </c>
      <c r="D558" s="68">
        <f>'В-25'!G567</f>
        <v>6</v>
      </c>
      <c r="E558" s="77"/>
    </row>
    <row r="559" spans="1:5" ht="21" hidden="1" customHeight="1" x14ac:dyDescent="0.3">
      <c r="A559" s="177" t="s">
        <v>717</v>
      </c>
      <c r="B559" s="12" t="s">
        <v>786</v>
      </c>
      <c r="C559" s="106" t="s">
        <v>50</v>
      </c>
      <c r="D559" s="68">
        <f>D560</f>
        <v>0</v>
      </c>
      <c r="E559" s="77"/>
    </row>
    <row r="560" spans="1:5" ht="45.75" hidden="1" customHeight="1" x14ac:dyDescent="0.3">
      <c r="A560" s="138" t="s">
        <v>290</v>
      </c>
      <c r="B560" s="12" t="s">
        <v>786</v>
      </c>
      <c r="C560" s="106" t="s">
        <v>291</v>
      </c>
      <c r="D560" s="68">
        <f>'В-25'!G937</f>
        <v>0</v>
      </c>
      <c r="E560" s="77"/>
    </row>
    <row r="561" spans="1:6" ht="39" x14ac:dyDescent="0.35">
      <c r="A561" s="162" t="s">
        <v>10</v>
      </c>
      <c r="B561" s="59" t="s">
        <v>28</v>
      </c>
      <c r="C561" s="60" t="s">
        <v>50</v>
      </c>
      <c r="D561" s="190">
        <f>D562+D582+D580+D585+D589+D572+D587</f>
        <v>72700.787209999995</v>
      </c>
      <c r="E561" s="77"/>
    </row>
    <row r="562" spans="1:6" ht="18.75" x14ac:dyDescent="0.3">
      <c r="A562" s="138" t="s">
        <v>62</v>
      </c>
      <c r="B562" s="12" t="s">
        <v>282</v>
      </c>
      <c r="C562" s="12" t="s">
        <v>50</v>
      </c>
      <c r="D562" s="68">
        <f>D563+D565+D569+D579+D577+D575</f>
        <v>56842.327210000003</v>
      </c>
      <c r="E562" s="77"/>
      <c r="F562" s="84"/>
    </row>
    <row r="563" spans="1:6" ht="37.5" x14ac:dyDescent="0.3">
      <c r="A563" s="138" t="s">
        <v>281</v>
      </c>
      <c r="B563" s="12" t="s">
        <v>283</v>
      </c>
      <c r="C563" s="12" t="s">
        <v>50</v>
      </c>
      <c r="D563" s="68">
        <f>D564</f>
        <v>2140</v>
      </c>
      <c r="E563" s="77"/>
    </row>
    <row r="564" spans="1:6" ht="37.5" x14ac:dyDescent="0.3">
      <c r="A564" s="138" t="s">
        <v>425</v>
      </c>
      <c r="B564" s="12" t="s">
        <v>283</v>
      </c>
      <c r="C564" s="12" t="s">
        <v>59</v>
      </c>
      <c r="D564" s="68">
        <f>'В-25'!G942</f>
        <v>2140</v>
      </c>
      <c r="E564" s="77"/>
    </row>
    <row r="565" spans="1:6" ht="18.75" x14ac:dyDescent="0.3">
      <c r="A565" s="138" t="s">
        <v>289</v>
      </c>
      <c r="B565" s="12" t="s">
        <v>292</v>
      </c>
      <c r="C565" s="12" t="s">
        <v>50</v>
      </c>
      <c r="D565" s="68">
        <f>D566+D567+D568</f>
        <v>49945.727209999997</v>
      </c>
      <c r="E565" s="77"/>
    </row>
    <row r="566" spans="1:6" ht="37.5" x14ac:dyDescent="0.3">
      <c r="A566" s="138" t="s">
        <v>425</v>
      </c>
      <c r="B566" s="12" t="s">
        <v>292</v>
      </c>
      <c r="C566" s="12" t="s">
        <v>59</v>
      </c>
      <c r="D566" s="68">
        <f>'В-25'!G994+'В-25'!G944</f>
        <v>41830.127209999999</v>
      </c>
      <c r="E566" s="77"/>
    </row>
    <row r="567" spans="1:6" ht="37.5" hidden="1" outlineLevel="1" x14ac:dyDescent="0.3">
      <c r="A567" s="138" t="s">
        <v>290</v>
      </c>
      <c r="B567" s="12" t="s">
        <v>292</v>
      </c>
      <c r="C567" s="12" t="s">
        <v>291</v>
      </c>
      <c r="D567" s="68">
        <f>'[2]В-21'!G597</f>
        <v>0</v>
      </c>
      <c r="E567" s="77"/>
    </row>
    <row r="568" spans="1:6" ht="18.75" outlineLevel="1" x14ac:dyDescent="0.3">
      <c r="A568" s="138" t="s">
        <v>60</v>
      </c>
      <c r="B568" s="12" t="s">
        <v>292</v>
      </c>
      <c r="C568" s="12" t="s">
        <v>61</v>
      </c>
      <c r="D568" s="68">
        <f>'В-25'!G995</f>
        <v>8115.6</v>
      </c>
      <c r="E568" s="77"/>
    </row>
    <row r="569" spans="1:6" ht="18.75" hidden="1" x14ac:dyDescent="0.3">
      <c r="A569" s="282" t="s">
        <v>584</v>
      </c>
      <c r="B569" s="12" t="s">
        <v>579</v>
      </c>
      <c r="C569" s="12" t="s">
        <v>50</v>
      </c>
      <c r="D569" s="68">
        <f>D570+D571</f>
        <v>0</v>
      </c>
      <c r="E569" s="77"/>
    </row>
    <row r="570" spans="1:6" ht="37.5" hidden="1" customHeight="1" outlineLevel="1" x14ac:dyDescent="0.3">
      <c r="A570" s="138" t="s">
        <v>425</v>
      </c>
      <c r="B570" s="12" t="s">
        <v>579</v>
      </c>
      <c r="C570" s="12" t="s">
        <v>59</v>
      </c>
      <c r="D570" s="68">
        <f>'В-25'!G997</f>
        <v>0</v>
      </c>
      <c r="E570" s="77"/>
    </row>
    <row r="571" spans="1:6" ht="37.5" hidden="1" x14ac:dyDescent="0.3">
      <c r="A571" s="138" t="s">
        <v>264</v>
      </c>
      <c r="B571" s="12" t="s">
        <v>579</v>
      </c>
      <c r="C571" s="12" t="s">
        <v>261</v>
      </c>
      <c r="D571" s="68">
        <f>'В-25'!G998</f>
        <v>0</v>
      </c>
      <c r="E571" s="77"/>
    </row>
    <row r="572" spans="1:6" ht="18.75" hidden="1" x14ac:dyDescent="0.3">
      <c r="A572" s="138" t="s">
        <v>184</v>
      </c>
      <c r="B572" s="12" t="s">
        <v>794</v>
      </c>
      <c r="C572" s="12" t="s">
        <v>50</v>
      </c>
      <c r="D572" s="68">
        <f>D573</f>
        <v>0</v>
      </c>
      <c r="E572" s="77"/>
    </row>
    <row r="573" spans="1:6" ht="37.5" hidden="1" x14ac:dyDescent="0.3">
      <c r="A573" s="138" t="s">
        <v>425</v>
      </c>
      <c r="B573" s="12" t="s">
        <v>794</v>
      </c>
      <c r="C573" s="12" t="s">
        <v>59</v>
      </c>
      <c r="D573" s="68">
        <f>'В-25'!G1000</f>
        <v>0</v>
      </c>
      <c r="E573" s="77"/>
    </row>
    <row r="574" spans="1:6" ht="37.5" x14ac:dyDescent="0.3">
      <c r="A574" s="236" t="s">
        <v>975</v>
      </c>
      <c r="B574" s="42" t="s">
        <v>973</v>
      </c>
      <c r="C574" s="12" t="s">
        <v>50</v>
      </c>
      <c r="D574" s="68">
        <f>D575</f>
        <v>2378.3000000000002</v>
      </c>
      <c r="E574" s="77"/>
    </row>
    <row r="575" spans="1:6" ht="37.5" x14ac:dyDescent="0.3">
      <c r="A575" s="138" t="s">
        <v>425</v>
      </c>
      <c r="B575" s="42" t="s">
        <v>973</v>
      </c>
      <c r="C575" s="12" t="s">
        <v>59</v>
      </c>
      <c r="D575" s="68">
        <f>'В-25'!G1099</f>
        <v>2378.3000000000002</v>
      </c>
      <c r="E575" s="77"/>
    </row>
    <row r="576" spans="1:6" ht="37.5" x14ac:dyDescent="0.3">
      <c r="A576" s="236" t="s">
        <v>975</v>
      </c>
      <c r="B576" s="42" t="s">
        <v>974</v>
      </c>
      <c r="C576" s="12" t="s">
        <v>50</v>
      </c>
      <c r="D576" s="68">
        <f>D577</f>
        <v>2378.3000000000002</v>
      </c>
      <c r="E576" s="77"/>
    </row>
    <row r="577" spans="1:5" ht="37.5" x14ac:dyDescent="0.3">
      <c r="A577" s="138" t="s">
        <v>425</v>
      </c>
      <c r="B577" s="42" t="s">
        <v>974</v>
      </c>
      <c r="C577" s="12" t="s">
        <v>59</v>
      </c>
      <c r="D577" s="68">
        <f>'В-25'!G1101</f>
        <v>2378.3000000000002</v>
      </c>
      <c r="E577" s="77"/>
    </row>
    <row r="578" spans="1:5" ht="56.25" hidden="1" x14ac:dyDescent="0.3">
      <c r="A578" s="138" t="s">
        <v>966</v>
      </c>
      <c r="B578" s="106" t="s">
        <v>967</v>
      </c>
      <c r="C578" s="106" t="s">
        <v>50</v>
      </c>
      <c r="D578" s="68">
        <f>D579</f>
        <v>0</v>
      </c>
      <c r="E578" s="77"/>
    </row>
    <row r="579" spans="1:5" ht="18.75" hidden="1" x14ac:dyDescent="0.3">
      <c r="A579" s="138" t="s">
        <v>58</v>
      </c>
      <c r="B579" s="106" t="s">
        <v>967</v>
      </c>
      <c r="C579" s="106" t="s">
        <v>59</v>
      </c>
      <c r="D579" s="68">
        <v>0</v>
      </c>
      <c r="E579" s="77"/>
    </row>
    <row r="580" spans="1:5" ht="56.25" x14ac:dyDescent="0.3">
      <c r="A580" s="280" t="s">
        <v>495</v>
      </c>
      <c r="B580" s="13" t="s">
        <v>617</v>
      </c>
      <c r="C580" s="12" t="s">
        <v>50</v>
      </c>
      <c r="D580" s="68">
        <f>D581</f>
        <v>139.6</v>
      </c>
      <c r="E580" s="77"/>
    </row>
    <row r="581" spans="1:5" ht="18.75" hidden="1" x14ac:dyDescent="0.3">
      <c r="A581" s="138" t="s">
        <v>60</v>
      </c>
      <c r="B581" s="13" t="s">
        <v>617</v>
      </c>
      <c r="C581" s="12" t="s">
        <v>61</v>
      </c>
      <c r="D581" s="68">
        <f>'В-25'!G569+'В-25'!G946</f>
        <v>139.6</v>
      </c>
      <c r="E581" s="77"/>
    </row>
    <row r="582" spans="1:5" ht="56.25" hidden="1" x14ac:dyDescent="0.3">
      <c r="A582" s="138" t="s">
        <v>173</v>
      </c>
      <c r="B582" s="12" t="s">
        <v>245</v>
      </c>
      <c r="C582" s="12" t="s">
        <v>50</v>
      </c>
      <c r="D582" s="68">
        <f>D583</f>
        <v>0</v>
      </c>
      <c r="E582" s="77"/>
    </row>
    <row r="583" spans="1:5" ht="112.5" hidden="1" x14ac:dyDescent="0.3">
      <c r="A583" s="138" t="s">
        <v>534</v>
      </c>
      <c r="B583" s="12" t="s">
        <v>246</v>
      </c>
      <c r="C583" s="12" t="s">
        <v>50</v>
      </c>
      <c r="D583" s="68">
        <f>D584</f>
        <v>0</v>
      </c>
      <c r="E583" s="77"/>
    </row>
    <row r="584" spans="1:5" ht="37.5" hidden="1" x14ac:dyDescent="0.3">
      <c r="A584" s="138" t="s">
        <v>425</v>
      </c>
      <c r="B584" s="12" t="s">
        <v>246</v>
      </c>
      <c r="C584" s="12" t="s">
        <v>59</v>
      </c>
      <c r="D584" s="68">
        <f>'В-25'!G704</f>
        <v>0</v>
      </c>
      <c r="E584" s="77"/>
    </row>
    <row r="585" spans="1:5" ht="56.25" hidden="1" x14ac:dyDescent="0.3">
      <c r="A585" s="138" t="s">
        <v>249</v>
      </c>
      <c r="B585" s="12" t="s">
        <v>626</v>
      </c>
      <c r="C585" s="12" t="s">
        <v>50</v>
      </c>
      <c r="D585" s="68">
        <v>0</v>
      </c>
      <c r="E585" s="77"/>
    </row>
    <row r="586" spans="1:5" ht="37.5" x14ac:dyDescent="0.3">
      <c r="A586" s="224" t="s">
        <v>972</v>
      </c>
      <c r="B586" s="12" t="s">
        <v>1152</v>
      </c>
      <c r="C586" s="12" t="s">
        <v>50</v>
      </c>
      <c r="D586" s="68">
        <f>D587</f>
        <v>14842.199999999997</v>
      </c>
      <c r="E586" s="77"/>
    </row>
    <row r="587" spans="1:5" ht="37.5" x14ac:dyDescent="0.3">
      <c r="A587" s="138" t="s">
        <v>425</v>
      </c>
      <c r="B587" s="12" t="s">
        <v>1152</v>
      </c>
      <c r="C587" s="12" t="s">
        <v>59</v>
      </c>
      <c r="D587" s="68">
        <f>'В-25'!G949</f>
        <v>14842.199999999997</v>
      </c>
      <c r="E587" s="77"/>
    </row>
    <row r="588" spans="1:5" ht="37.5" x14ac:dyDescent="0.3">
      <c r="A588" s="224" t="s">
        <v>972</v>
      </c>
      <c r="B588" s="12" t="s">
        <v>1153</v>
      </c>
      <c r="C588" s="12" t="s">
        <v>50</v>
      </c>
      <c r="D588" s="68">
        <f>D589</f>
        <v>876.65999999999985</v>
      </c>
      <c r="E588" s="77"/>
    </row>
    <row r="589" spans="1:5" ht="38.25" customHeight="1" x14ac:dyDescent="0.3">
      <c r="A589" s="138" t="s">
        <v>425</v>
      </c>
      <c r="B589" s="12" t="s">
        <v>1153</v>
      </c>
      <c r="C589" s="12" t="s">
        <v>59</v>
      </c>
      <c r="D589" s="68">
        <f>'В-25'!G951</f>
        <v>876.65999999999985</v>
      </c>
      <c r="E589" s="77"/>
    </row>
    <row r="590" spans="1:5" ht="39" x14ac:dyDescent="0.35">
      <c r="A590" s="156" t="s">
        <v>11</v>
      </c>
      <c r="B590" s="59" t="s">
        <v>29</v>
      </c>
      <c r="C590" s="60" t="s">
        <v>50</v>
      </c>
      <c r="D590" s="190">
        <f>D591+D647+D701</f>
        <v>35660.910000000003</v>
      </c>
      <c r="E590" s="77"/>
    </row>
    <row r="591" spans="1:5" ht="18.75" outlineLevel="1" x14ac:dyDescent="0.3">
      <c r="A591" s="138" t="s">
        <v>62</v>
      </c>
      <c r="B591" s="12" t="s">
        <v>251</v>
      </c>
      <c r="C591" s="12" t="s">
        <v>50</v>
      </c>
      <c r="D591" s="68">
        <f>D594+D592+D737</f>
        <v>6679.2910000000002</v>
      </c>
      <c r="E591" s="77"/>
    </row>
    <row r="592" spans="1:5" ht="18.75" hidden="1" outlineLevel="1" x14ac:dyDescent="0.3">
      <c r="A592" s="138" t="s">
        <v>289</v>
      </c>
      <c r="B592" s="42" t="s">
        <v>647</v>
      </c>
      <c r="C592" s="12" t="s">
        <v>50</v>
      </c>
      <c r="D592" s="68">
        <f>D593</f>
        <v>337</v>
      </c>
      <c r="E592" s="77"/>
    </row>
    <row r="593" spans="1:5" ht="37.5" hidden="1" outlineLevel="1" x14ac:dyDescent="0.3">
      <c r="A593" s="138" t="s">
        <v>425</v>
      </c>
      <c r="B593" s="42" t="s">
        <v>647</v>
      </c>
      <c r="C593" s="42" t="s">
        <v>59</v>
      </c>
      <c r="D593" s="68">
        <f>'В-25'!G1017</f>
        <v>337</v>
      </c>
      <c r="E593" s="77"/>
    </row>
    <row r="594" spans="1:5" s="217" customFormat="1" ht="18.75" outlineLevel="1" x14ac:dyDescent="0.3">
      <c r="A594" s="150" t="s">
        <v>64</v>
      </c>
      <c r="B594" s="7" t="s">
        <v>252</v>
      </c>
      <c r="C594" s="7" t="s">
        <v>50</v>
      </c>
      <c r="D594" s="189">
        <f>D595+D597+D599+D601+D603+D605+D607+D609+D611+D613+D615+D617+D619+D621+D623+D625+D627</f>
        <v>6342.2910000000002</v>
      </c>
      <c r="E594" s="216"/>
    </row>
    <row r="595" spans="1:5" ht="63" customHeight="1" outlineLevel="1" x14ac:dyDescent="0.3">
      <c r="A595" s="138" t="s">
        <v>1076</v>
      </c>
      <c r="B595" s="12" t="s">
        <v>879</v>
      </c>
      <c r="C595" s="42" t="s">
        <v>50</v>
      </c>
      <c r="D595" s="68">
        <f>D596</f>
        <v>230</v>
      </c>
      <c r="E595" s="77"/>
    </row>
    <row r="596" spans="1:5" ht="37.5" outlineLevel="1" x14ac:dyDescent="0.3">
      <c r="A596" s="138" t="s">
        <v>425</v>
      </c>
      <c r="B596" s="12" t="s">
        <v>879</v>
      </c>
      <c r="C596" s="42" t="s">
        <v>59</v>
      </c>
      <c r="D596" s="68">
        <f>'В-25'!G834</f>
        <v>230</v>
      </c>
      <c r="E596" s="77"/>
    </row>
    <row r="597" spans="1:5" ht="75" outlineLevel="1" x14ac:dyDescent="0.3">
      <c r="A597" s="138" t="s">
        <v>1077</v>
      </c>
      <c r="B597" s="42" t="s">
        <v>1006</v>
      </c>
      <c r="C597" s="12" t="s">
        <v>50</v>
      </c>
      <c r="D597" s="68">
        <f>D598</f>
        <v>400</v>
      </c>
      <c r="E597" s="77"/>
    </row>
    <row r="598" spans="1:5" ht="37.5" outlineLevel="1" x14ac:dyDescent="0.3">
      <c r="A598" s="138" t="s">
        <v>425</v>
      </c>
      <c r="B598" s="42" t="s">
        <v>1006</v>
      </c>
      <c r="C598" s="42" t="s">
        <v>59</v>
      </c>
      <c r="D598" s="68">
        <f>'В-25'!G836</f>
        <v>400</v>
      </c>
      <c r="E598" s="77"/>
    </row>
    <row r="599" spans="1:5" ht="63" customHeight="1" outlineLevel="1" x14ac:dyDescent="0.3">
      <c r="A599" s="138" t="s">
        <v>1078</v>
      </c>
      <c r="B599" s="42" t="s">
        <v>1007</v>
      </c>
      <c r="C599" s="12" t="s">
        <v>50</v>
      </c>
      <c r="D599" s="68">
        <f>D600</f>
        <v>305</v>
      </c>
      <c r="E599" s="77"/>
    </row>
    <row r="600" spans="1:5" ht="37.5" outlineLevel="1" x14ac:dyDescent="0.3">
      <c r="A600" s="138" t="s">
        <v>425</v>
      </c>
      <c r="B600" s="42" t="s">
        <v>1007</v>
      </c>
      <c r="C600" s="12" t="s">
        <v>59</v>
      </c>
      <c r="D600" s="68">
        <f>'В-25'!G838</f>
        <v>305</v>
      </c>
      <c r="E600" s="77"/>
    </row>
    <row r="601" spans="1:5" ht="93.75" outlineLevel="1" x14ac:dyDescent="0.3">
      <c r="A601" s="138" t="s">
        <v>1079</v>
      </c>
      <c r="B601" s="12" t="s">
        <v>1032</v>
      </c>
      <c r="C601" s="42" t="s">
        <v>50</v>
      </c>
      <c r="D601" s="68">
        <f>D602</f>
        <v>357</v>
      </c>
      <c r="E601" s="77"/>
    </row>
    <row r="602" spans="1:5" ht="37.5" outlineLevel="1" x14ac:dyDescent="0.3">
      <c r="A602" s="138" t="s">
        <v>425</v>
      </c>
      <c r="B602" s="12" t="s">
        <v>1032</v>
      </c>
      <c r="C602" s="42" t="s">
        <v>59</v>
      </c>
      <c r="D602" s="68">
        <f>'В-25'!G840</f>
        <v>357</v>
      </c>
      <c r="E602" s="77"/>
    </row>
    <row r="603" spans="1:5" ht="75" outlineLevel="1" x14ac:dyDescent="0.3">
      <c r="A603" s="138" t="s">
        <v>1080</v>
      </c>
      <c r="B603" s="12" t="s">
        <v>1033</v>
      </c>
      <c r="C603" s="42" t="s">
        <v>50</v>
      </c>
      <c r="D603" s="68">
        <f>D604</f>
        <v>326</v>
      </c>
      <c r="E603" s="77"/>
    </row>
    <row r="604" spans="1:5" ht="37.5" outlineLevel="1" x14ac:dyDescent="0.3">
      <c r="A604" s="138" t="s">
        <v>425</v>
      </c>
      <c r="B604" s="12" t="s">
        <v>1033</v>
      </c>
      <c r="C604" s="42" t="s">
        <v>59</v>
      </c>
      <c r="D604" s="68">
        <f>'В-25'!G842</f>
        <v>326</v>
      </c>
      <c r="E604" s="77"/>
    </row>
    <row r="605" spans="1:5" ht="75" outlineLevel="1" x14ac:dyDescent="0.3">
      <c r="A605" s="138" t="s">
        <v>1081</v>
      </c>
      <c r="B605" s="42" t="s">
        <v>1034</v>
      </c>
      <c r="C605" s="42" t="s">
        <v>50</v>
      </c>
      <c r="D605" s="68">
        <f>D606</f>
        <v>141</v>
      </c>
      <c r="E605" s="77"/>
    </row>
    <row r="606" spans="1:5" ht="37.5" outlineLevel="1" x14ac:dyDescent="0.3">
      <c r="A606" s="138" t="s">
        <v>425</v>
      </c>
      <c r="B606" s="42" t="s">
        <v>1034</v>
      </c>
      <c r="C606" s="42" t="s">
        <v>59</v>
      </c>
      <c r="D606" s="68">
        <f>'В-25'!G844</f>
        <v>141</v>
      </c>
      <c r="E606" s="77"/>
    </row>
    <row r="607" spans="1:5" ht="37.5" outlineLevel="1" x14ac:dyDescent="0.3">
      <c r="A607" s="138" t="s">
        <v>1082</v>
      </c>
      <c r="B607" s="42" t="s">
        <v>1035</v>
      </c>
      <c r="C607" s="12" t="s">
        <v>50</v>
      </c>
      <c r="D607" s="68">
        <f>D608</f>
        <v>843</v>
      </c>
      <c r="E607" s="77"/>
    </row>
    <row r="608" spans="1:5" ht="37.5" outlineLevel="1" x14ac:dyDescent="0.3">
      <c r="A608" s="138" t="s">
        <v>425</v>
      </c>
      <c r="B608" s="42" t="s">
        <v>1035</v>
      </c>
      <c r="C608" s="42" t="s">
        <v>59</v>
      </c>
      <c r="D608" s="68">
        <f>'В-25'!G846</f>
        <v>843</v>
      </c>
      <c r="E608" s="77"/>
    </row>
    <row r="609" spans="1:5" ht="56.25" outlineLevel="1" x14ac:dyDescent="0.3">
      <c r="A609" s="138" t="s">
        <v>1083</v>
      </c>
      <c r="B609" s="42" t="s">
        <v>1036</v>
      </c>
      <c r="C609" s="12" t="s">
        <v>50</v>
      </c>
      <c r="D609" s="68">
        <f>D610</f>
        <v>185</v>
      </c>
      <c r="E609" s="77"/>
    </row>
    <row r="610" spans="1:5" ht="37.5" outlineLevel="1" x14ac:dyDescent="0.3">
      <c r="A610" s="138" t="s">
        <v>425</v>
      </c>
      <c r="B610" s="42" t="s">
        <v>1036</v>
      </c>
      <c r="C610" s="42" t="s">
        <v>59</v>
      </c>
      <c r="D610" s="68">
        <f>'В-25'!G848</f>
        <v>185</v>
      </c>
      <c r="E610" s="77"/>
    </row>
    <row r="611" spans="1:5" ht="56.25" outlineLevel="1" x14ac:dyDescent="0.3">
      <c r="A611" s="138" t="s">
        <v>1084</v>
      </c>
      <c r="B611" s="42" t="s">
        <v>1037</v>
      </c>
      <c r="C611" s="12" t="s">
        <v>50</v>
      </c>
      <c r="D611" s="68">
        <f>D612</f>
        <v>253.10499999999999</v>
      </c>
      <c r="E611" s="77"/>
    </row>
    <row r="612" spans="1:5" ht="37.5" outlineLevel="1" x14ac:dyDescent="0.3">
      <c r="A612" s="138" t="s">
        <v>425</v>
      </c>
      <c r="B612" s="42" t="s">
        <v>1037</v>
      </c>
      <c r="C612" s="42" t="s">
        <v>59</v>
      </c>
      <c r="D612" s="68">
        <f>'В-25'!G850</f>
        <v>253.10499999999999</v>
      </c>
      <c r="E612" s="77"/>
    </row>
    <row r="613" spans="1:5" ht="75" outlineLevel="1" x14ac:dyDescent="0.3">
      <c r="A613" s="138" t="s">
        <v>1085</v>
      </c>
      <c r="B613" s="42" t="s">
        <v>1038</v>
      </c>
      <c r="C613" s="12" t="s">
        <v>50</v>
      </c>
      <c r="D613" s="68">
        <f>D614</f>
        <v>532.18600000000004</v>
      </c>
      <c r="E613" s="77"/>
    </row>
    <row r="614" spans="1:5" ht="37.5" outlineLevel="1" x14ac:dyDescent="0.3">
      <c r="A614" s="138" t="s">
        <v>425</v>
      </c>
      <c r="B614" s="42" t="s">
        <v>1038</v>
      </c>
      <c r="C614" s="42" t="s">
        <v>59</v>
      </c>
      <c r="D614" s="68">
        <f>'В-25'!G852</f>
        <v>532.18600000000004</v>
      </c>
      <c r="E614" s="77"/>
    </row>
    <row r="615" spans="1:5" ht="75" outlineLevel="1" x14ac:dyDescent="0.3">
      <c r="A615" s="138" t="s">
        <v>1086</v>
      </c>
      <c r="B615" s="42" t="s">
        <v>1039</v>
      </c>
      <c r="C615" s="12" t="s">
        <v>50</v>
      </c>
      <c r="D615" s="68">
        <f>D616</f>
        <v>65</v>
      </c>
      <c r="E615" s="77"/>
    </row>
    <row r="616" spans="1:5" ht="37.5" outlineLevel="1" x14ac:dyDescent="0.3">
      <c r="A616" s="138" t="s">
        <v>425</v>
      </c>
      <c r="B616" s="42" t="s">
        <v>1039</v>
      </c>
      <c r="C616" s="1">
        <v>200</v>
      </c>
      <c r="D616" s="68">
        <f>'В-25'!G1065</f>
        <v>65</v>
      </c>
      <c r="E616" s="77"/>
    </row>
    <row r="617" spans="1:5" ht="93.75" outlineLevel="1" x14ac:dyDescent="0.3">
      <c r="A617" s="138" t="s">
        <v>1087</v>
      </c>
      <c r="B617" s="42" t="s">
        <v>1040</v>
      </c>
      <c r="C617" s="12" t="s">
        <v>50</v>
      </c>
      <c r="D617" s="68">
        <f>D618</f>
        <v>561.79999999999995</v>
      </c>
      <c r="E617" s="77"/>
    </row>
    <row r="618" spans="1:5" ht="37.5" outlineLevel="1" x14ac:dyDescent="0.3">
      <c r="A618" s="138" t="s">
        <v>425</v>
      </c>
      <c r="B618" s="42" t="s">
        <v>1040</v>
      </c>
      <c r="C618" s="1">
        <v>200</v>
      </c>
      <c r="D618" s="68">
        <f>'В-25'!G1067</f>
        <v>561.79999999999995</v>
      </c>
      <c r="E618" s="77"/>
    </row>
    <row r="619" spans="1:5" ht="75" outlineLevel="1" x14ac:dyDescent="0.3">
      <c r="A619" s="138" t="s">
        <v>1088</v>
      </c>
      <c r="B619" s="42" t="s">
        <v>1041</v>
      </c>
      <c r="C619" s="13" t="s">
        <v>50</v>
      </c>
      <c r="D619" s="68">
        <f>D620</f>
        <v>322.2</v>
      </c>
      <c r="E619" s="77"/>
    </row>
    <row r="620" spans="1:5" ht="37.5" outlineLevel="1" x14ac:dyDescent="0.3">
      <c r="A620" s="138" t="s">
        <v>425</v>
      </c>
      <c r="B620" s="42" t="s">
        <v>1041</v>
      </c>
      <c r="C620" s="13" t="s">
        <v>59</v>
      </c>
      <c r="D620" s="68">
        <f>'В-25'!G1549</f>
        <v>322.2</v>
      </c>
      <c r="E620" s="77"/>
    </row>
    <row r="621" spans="1:5" ht="75" outlineLevel="1" x14ac:dyDescent="0.3">
      <c r="A621" s="138" t="s">
        <v>1089</v>
      </c>
      <c r="B621" s="42" t="s">
        <v>1042</v>
      </c>
      <c r="C621" s="12" t="s">
        <v>50</v>
      </c>
      <c r="D621" s="68">
        <f>D622</f>
        <v>855</v>
      </c>
      <c r="E621" s="77"/>
    </row>
    <row r="622" spans="1:5" ht="37.5" outlineLevel="1" x14ac:dyDescent="0.3">
      <c r="A622" s="138" t="s">
        <v>425</v>
      </c>
      <c r="B622" s="42" t="s">
        <v>1042</v>
      </c>
      <c r="C622" s="42" t="s">
        <v>59</v>
      </c>
      <c r="D622" s="68">
        <f>'В-25'!G1553</f>
        <v>855</v>
      </c>
      <c r="E622" s="77"/>
    </row>
    <row r="623" spans="1:5" ht="75" outlineLevel="1" x14ac:dyDescent="0.3">
      <c r="A623" s="138" t="s">
        <v>1090</v>
      </c>
      <c r="B623" s="42" t="s">
        <v>1043</v>
      </c>
      <c r="C623" s="12" t="s">
        <v>50</v>
      </c>
      <c r="D623" s="68">
        <f>D624</f>
        <v>146</v>
      </c>
      <c r="E623" s="77"/>
    </row>
    <row r="624" spans="1:5" ht="37.5" outlineLevel="1" x14ac:dyDescent="0.3">
      <c r="A624" s="138" t="s">
        <v>264</v>
      </c>
      <c r="B624" s="42" t="s">
        <v>1043</v>
      </c>
      <c r="C624" s="12" t="s">
        <v>261</v>
      </c>
      <c r="D624" s="68">
        <f>'В-25'!G1394</f>
        <v>146</v>
      </c>
      <c r="E624" s="77"/>
    </row>
    <row r="625" spans="1:5" ht="75" outlineLevel="1" x14ac:dyDescent="0.3">
      <c r="A625" s="138" t="s">
        <v>1091</v>
      </c>
      <c r="B625" s="42" t="s">
        <v>1044</v>
      </c>
      <c r="C625" s="12" t="s">
        <v>50</v>
      </c>
      <c r="D625" s="68">
        <f>D626</f>
        <v>490</v>
      </c>
      <c r="E625" s="77"/>
    </row>
    <row r="626" spans="1:5" ht="37.5" outlineLevel="1" x14ac:dyDescent="0.3">
      <c r="A626" s="138" t="s">
        <v>264</v>
      </c>
      <c r="B626" s="42" t="s">
        <v>1044</v>
      </c>
      <c r="C626" s="12" t="s">
        <v>261</v>
      </c>
      <c r="D626" s="68">
        <f>'В-25'!G1555</f>
        <v>490</v>
      </c>
      <c r="E626" s="77"/>
    </row>
    <row r="627" spans="1:5" ht="104.1" customHeight="1" outlineLevel="1" x14ac:dyDescent="0.3">
      <c r="A627" s="138" t="s">
        <v>1092</v>
      </c>
      <c r="B627" s="42" t="s">
        <v>1045</v>
      </c>
      <c r="C627" s="12" t="s">
        <v>50</v>
      </c>
      <c r="D627" s="68">
        <f>D628</f>
        <v>330</v>
      </c>
      <c r="E627" s="77"/>
    </row>
    <row r="628" spans="1:5" ht="37.5" outlineLevel="1" x14ac:dyDescent="0.3">
      <c r="A628" s="138" t="s">
        <v>264</v>
      </c>
      <c r="B628" s="42" t="s">
        <v>1045</v>
      </c>
      <c r="C628" s="12" t="s">
        <v>261</v>
      </c>
      <c r="D628" s="68">
        <f>'В-25'!G1396</f>
        <v>330</v>
      </c>
      <c r="E628" s="77"/>
    </row>
    <row r="629" spans="1:5" ht="93.75" hidden="1" outlineLevel="1" x14ac:dyDescent="0.3">
      <c r="A629" s="138" t="s">
        <v>842</v>
      </c>
      <c r="B629" s="13" t="s">
        <v>880</v>
      </c>
      <c r="C629" s="12" t="s">
        <v>50</v>
      </c>
      <c r="D629" s="68">
        <f>D630</f>
        <v>0</v>
      </c>
      <c r="E629" s="77"/>
    </row>
    <row r="630" spans="1:5" ht="37.5" hidden="1" outlineLevel="1" x14ac:dyDescent="0.3">
      <c r="A630" s="138" t="s">
        <v>264</v>
      </c>
      <c r="B630" s="13" t="s">
        <v>880</v>
      </c>
      <c r="C630" s="1">
        <v>600</v>
      </c>
      <c r="D630" s="68">
        <v>0</v>
      </c>
      <c r="E630" s="77"/>
    </row>
    <row r="631" spans="1:5" ht="93.75" hidden="1" outlineLevel="1" x14ac:dyDescent="0.3">
      <c r="A631" s="138" t="s">
        <v>547</v>
      </c>
      <c r="B631" s="12" t="s">
        <v>604</v>
      </c>
      <c r="C631" s="12" t="s">
        <v>50</v>
      </c>
      <c r="D631" s="68">
        <f>D632</f>
        <v>0</v>
      </c>
      <c r="E631" s="77"/>
    </row>
    <row r="632" spans="1:5" ht="37.5" hidden="1" outlineLevel="1" x14ac:dyDescent="0.3">
      <c r="A632" s="138" t="s">
        <v>425</v>
      </c>
      <c r="B632" s="12" t="s">
        <v>604</v>
      </c>
      <c r="C632" s="12" t="s">
        <v>59</v>
      </c>
      <c r="D632" s="68">
        <v>0</v>
      </c>
      <c r="E632" s="77"/>
    </row>
    <row r="633" spans="1:5" ht="93.75" hidden="1" outlineLevel="1" x14ac:dyDescent="0.3">
      <c r="A633" s="138" t="s">
        <v>548</v>
      </c>
      <c r="B633" s="12" t="s">
        <v>603</v>
      </c>
      <c r="C633" s="12" t="s">
        <v>50</v>
      </c>
      <c r="D633" s="68">
        <f>D634</f>
        <v>0</v>
      </c>
      <c r="E633" s="77"/>
    </row>
    <row r="634" spans="1:5" ht="37.5" hidden="1" outlineLevel="1" x14ac:dyDescent="0.3">
      <c r="A634" s="138" t="s">
        <v>425</v>
      </c>
      <c r="B634" s="12" t="s">
        <v>603</v>
      </c>
      <c r="C634" s="12" t="s">
        <v>59</v>
      </c>
      <c r="D634" s="68">
        <f>'В-25'!G219</f>
        <v>0</v>
      </c>
      <c r="E634" s="77"/>
    </row>
    <row r="635" spans="1:5" ht="56.25" hidden="1" outlineLevel="1" x14ac:dyDescent="0.3">
      <c r="A635" s="138" t="s">
        <v>755</v>
      </c>
      <c r="B635" s="42" t="s">
        <v>753</v>
      </c>
      <c r="C635" s="12" t="s">
        <v>50</v>
      </c>
      <c r="D635" s="68">
        <f>D636</f>
        <v>0</v>
      </c>
      <c r="E635" s="77"/>
    </row>
    <row r="636" spans="1:5" ht="37.5" hidden="1" outlineLevel="1" x14ac:dyDescent="0.3">
      <c r="A636" s="138" t="s">
        <v>425</v>
      </c>
      <c r="B636" s="42" t="s">
        <v>753</v>
      </c>
      <c r="C636" s="42" t="s">
        <v>59</v>
      </c>
      <c r="D636" s="68">
        <f>'В-25'!G1080</f>
        <v>0</v>
      </c>
      <c r="E636" s="77"/>
    </row>
    <row r="637" spans="1:5" ht="56.25" hidden="1" outlineLevel="1" x14ac:dyDescent="0.3">
      <c r="A637" s="138" t="s">
        <v>766</v>
      </c>
      <c r="B637" s="42" t="s">
        <v>762</v>
      </c>
      <c r="C637" s="42" t="s">
        <v>50</v>
      </c>
      <c r="D637" s="68">
        <f>D638</f>
        <v>0</v>
      </c>
      <c r="E637" s="77"/>
    </row>
    <row r="638" spans="1:5" ht="37.5" hidden="1" outlineLevel="1" x14ac:dyDescent="0.3">
      <c r="A638" s="138" t="s">
        <v>425</v>
      </c>
      <c r="B638" s="42" t="s">
        <v>762</v>
      </c>
      <c r="C638" s="42" t="s">
        <v>59</v>
      </c>
      <c r="D638" s="68">
        <f>'В-25'!G1082</f>
        <v>0</v>
      </c>
      <c r="E638" s="77"/>
    </row>
    <row r="639" spans="1:5" ht="56.25" hidden="1" outlineLevel="1" x14ac:dyDescent="0.3">
      <c r="A639" s="138" t="s">
        <v>904</v>
      </c>
      <c r="B639" s="42" t="s">
        <v>907</v>
      </c>
      <c r="C639" s="12" t="s">
        <v>50</v>
      </c>
      <c r="D639" s="68">
        <f>D640</f>
        <v>0</v>
      </c>
      <c r="E639" s="77"/>
    </row>
    <row r="640" spans="1:5" ht="37.5" hidden="1" outlineLevel="1" x14ac:dyDescent="0.3">
      <c r="A640" s="138" t="s">
        <v>425</v>
      </c>
      <c r="B640" s="42" t="s">
        <v>907</v>
      </c>
      <c r="C640" s="42" t="s">
        <v>59</v>
      </c>
      <c r="D640" s="68">
        <f>'В-25'!G1093</f>
        <v>0</v>
      </c>
      <c r="E640" s="77"/>
    </row>
    <row r="641" spans="1:5" ht="56.25" hidden="1" outlineLevel="1" x14ac:dyDescent="0.3">
      <c r="A641" s="138" t="s">
        <v>905</v>
      </c>
      <c r="B641" s="42" t="s">
        <v>906</v>
      </c>
      <c r="C641" s="12" t="s">
        <v>50</v>
      </c>
      <c r="D641" s="68">
        <f>D642</f>
        <v>0</v>
      </c>
      <c r="E641" s="77"/>
    </row>
    <row r="642" spans="1:5" ht="37.5" hidden="1" outlineLevel="1" x14ac:dyDescent="0.3">
      <c r="A642" s="138" t="s">
        <v>425</v>
      </c>
      <c r="B642" s="42" t="s">
        <v>906</v>
      </c>
      <c r="C642" s="42" t="s">
        <v>59</v>
      </c>
      <c r="D642" s="68">
        <f>'В-25'!G1095</f>
        <v>0</v>
      </c>
      <c r="E642" s="77"/>
    </row>
    <row r="643" spans="1:5" ht="93.75" hidden="1" outlineLevel="1" x14ac:dyDescent="0.3">
      <c r="A643" s="138" t="s">
        <v>724</v>
      </c>
      <c r="B643" s="42" t="s">
        <v>909</v>
      </c>
      <c r="C643" s="13" t="s">
        <v>50</v>
      </c>
      <c r="D643" s="68">
        <f>D644</f>
        <v>0</v>
      </c>
      <c r="E643" s="77"/>
    </row>
    <row r="644" spans="1:5" ht="37.5" hidden="1" outlineLevel="1" x14ac:dyDescent="0.3">
      <c r="A644" s="138" t="s">
        <v>264</v>
      </c>
      <c r="B644" s="42" t="s">
        <v>909</v>
      </c>
      <c r="C644" s="13" t="s">
        <v>261</v>
      </c>
      <c r="D644" s="68">
        <f>'В-25'!G1398</f>
        <v>0</v>
      </c>
      <c r="E644" s="77"/>
    </row>
    <row r="645" spans="1:5" ht="56.25" hidden="1" outlineLevel="1" x14ac:dyDescent="0.3">
      <c r="A645" s="138" t="s">
        <v>911</v>
      </c>
      <c r="B645" s="42" t="s">
        <v>912</v>
      </c>
      <c r="C645" s="12" t="s">
        <v>50</v>
      </c>
      <c r="D645" s="68">
        <f>D646</f>
        <v>0</v>
      </c>
      <c r="E645" s="77"/>
    </row>
    <row r="646" spans="1:5" ht="37.5" hidden="1" outlineLevel="1" x14ac:dyDescent="0.3">
      <c r="A646" s="138" t="s">
        <v>425</v>
      </c>
      <c r="B646" s="42" t="s">
        <v>912</v>
      </c>
      <c r="C646" s="12" t="s">
        <v>59</v>
      </c>
      <c r="D646" s="68">
        <f>'В-25'!G859</f>
        <v>0</v>
      </c>
      <c r="E646" s="77"/>
    </row>
    <row r="647" spans="1:5" s="217" customFormat="1" ht="56.25" collapsed="1" x14ac:dyDescent="0.3">
      <c r="A647" s="164" t="s">
        <v>249</v>
      </c>
      <c r="B647" s="19" t="s">
        <v>254</v>
      </c>
      <c r="C647" s="7" t="s">
        <v>50</v>
      </c>
      <c r="D647" s="189">
        <f>D648</f>
        <v>18467.024000000001</v>
      </c>
      <c r="E647" s="216"/>
    </row>
    <row r="648" spans="1:5" ht="63" customHeight="1" x14ac:dyDescent="0.3">
      <c r="A648" s="138" t="s">
        <v>253</v>
      </c>
      <c r="B648" s="12" t="s">
        <v>881</v>
      </c>
      <c r="C648" s="12" t="s">
        <v>50</v>
      </c>
      <c r="D648" s="68">
        <f>D649+D651+D653+D655+D657+D659+D661+D663+D665+D667+D669+D671+D673+D675+D677+D679+D681</f>
        <v>18467.024000000001</v>
      </c>
      <c r="E648" s="77"/>
    </row>
    <row r="649" spans="1:5" ht="104.1" customHeight="1" x14ac:dyDescent="0.3">
      <c r="A649" s="138" t="s">
        <v>1093</v>
      </c>
      <c r="B649" s="12" t="s">
        <v>882</v>
      </c>
      <c r="C649" s="12" t="s">
        <v>50</v>
      </c>
      <c r="D649" s="68">
        <f>D650</f>
        <v>1040.268</v>
      </c>
      <c r="E649" s="77"/>
    </row>
    <row r="650" spans="1:5" ht="40.5" customHeight="1" x14ac:dyDescent="0.3">
      <c r="A650" s="138" t="s">
        <v>425</v>
      </c>
      <c r="B650" s="12" t="s">
        <v>882</v>
      </c>
      <c r="C650" s="12" t="s">
        <v>59</v>
      </c>
      <c r="D650" s="191">
        <f>'В-25'!G791</f>
        <v>1040.268</v>
      </c>
      <c r="E650" s="77"/>
    </row>
    <row r="651" spans="1:5" ht="98.45" customHeight="1" x14ac:dyDescent="0.3">
      <c r="A651" s="138" t="s">
        <v>1094</v>
      </c>
      <c r="B651" s="42" t="s">
        <v>984</v>
      </c>
      <c r="C651" s="12" t="s">
        <v>50</v>
      </c>
      <c r="D651" s="191">
        <f>D652</f>
        <v>1385.0360000000001</v>
      </c>
      <c r="E651" s="77"/>
    </row>
    <row r="652" spans="1:5" ht="40.5" customHeight="1" x14ac:dyDescent="0.3">
      <c r="A652" s="138" t="s">
        <v>425</v>
      </c>
      <c r="B652" s="42" t="s">
        <v>984</v>
      </c>
      <c r="C652" s="42" t="s">
        <v>59</v>
      </c>
      <c r="D652" s="191">
        <f>'В-25'!G793</f>
        <v>1385.0360000000001</v>
      </c>
      <c r="E652" s="77"/>
    </row>
    <row r="653" spans="1:5" ht="86.25" customHeight="1" x14ac:dyDescent="0.3">
      <c r="A653" s="138" t="s">
        <v>1095</v>
      </c>
      <c r="B653" s="42" t="s">
        <v>985</v>
      </c>
      <c r="C653" s="42" t="s">
        <v>50</v>
      </c>
      <c r="D653" s="191">
        <f>D654</f>
        <v>1078.3699999999999</v>
      </c>
      <c r="E653" s="77"/>
    </row>
    <row r="654" spans="1:5" ht="40.5" customHeight="1" x14ac:dyDescent="0.3">
      <c r="A654" s="138" t="s">
        <v>425</v>
      </c>
      <c r="B654" s="42" t="s">
        <v>985</v>
      </c>
      <c r="C654" s="42" t="s">
        <v>59</v>
      </c>
      <c r="D654" s="191">
        <f>'В-25'!G795</f>
        <v>1078.3699999999999</v>
      </c>
      <c r="E654" s="77"/>
    </row>
    <row r="655" spans="1:5" ht="90" customHeight="1" x14ac:dyDescent="0.3">
      <c r="A655" s="138" t="s">
        <v>1096</v>
      </c>
      <c r="B655" s="12" t="s">
        <v>1046</v>
      </c>
      <c r="C655" s="12" t="s">
        <v>50</v>
      </c>
      <c r="D655" s="68">
        <f>D656</f>
        <v>1083.04</v>
      </c>
      <c r="E655" s="77"/>
    </row>
    <row r="656" spans="1:5" ht="42.75" customHeight="1" x14ac:dyDescent="0.3">
      <c r="A656" s="138" t="s">
        <v>425</v>
      </c>
      <c r="B656" s="12" t="s">
        <v>1046</v>
      </c>
      <c r="C656" s="42" t="s">
        <v>59</v>
      </c>
      <c r="D656" s="68">
        <f>'В-25'!G797</f>
        <v>1083.04</v>
      </c>
      <c r="E656" s="77"/>
    </row>
    <row r="657" spans="1:5" ht="100.5" customHeight="1" x14ac:dyDescent="0.3">
      <c r="A657" s="138" t="s">
        <v>1097</v>
      </c>
      <c r="B657" s="12" t="s">
        <v>1047</v>
      </c>
      <c r="C657" s="12" t="s">
        <v>50</v>
      </c>
      <c r="D657" s="68">
        <f>D658</f>
        <v>1126.9929999999999</v>
      </c>
      <c r="E657" s="77"/>
    </row>
    <row r="658" spans="1:5" ht="41.25" customHeight="1" x14ac:dyDescent="0.3">
      <c r="A658" s="138" t="s">
        <v>425</v>
      </c>
      <c r="B658" s="12" t="s">
        <v>1047</v>
      </c>
      <c r="C658" s="42" t="s">
        <v>59</v>
      </c>
      <c r="D658" s="68">
        <f>'В-25'!G799</f>
        <v>1126.9929999999999</v>
      </c>
      <c r="E658" s="77"/>
    </row>
    <row r="659" spans="1:5" ht="99" customHeight="1" x14ac:dyDescent="0.3">
      <c r="A659" s="138" t="s">
        <v>1098</v>
      </c>
      <c r="B659" s="12" t="s">
        <v>1048</v>
      </c>
      <c r="C659" s="12" t="s">
        <v>50</v>
      </c>
      <c r="D659" s="68">
        <f>D660</f>
        <v>553.93399999999997</v>
      </c>
      <c r="E659" s="77"/>
    </row>
    <row r="660" spans="1:5" ht="43.5" customHeight="1" x14ac:dyDescent="0.3">
      <c r="A660" s="138" t="s">
        <v>425</v>
      </c>
      <c r="B660" s="12" t="s">
        <v>1048</v>
      </c>
      <c r="C660" s="42" t="s">
        <v>59</v>
      </c>
      <c r="D660" s="68">
        <f>'В-25'!G801</f>
        <v>553.93399999999997</v>
      </c>
      <c r="E660" s="77"/>
    </row>
    <row r="661" spans="1:5" ht="110.25" customHeight="1" x14ac:dyDescent="0.3">
      <c r="A661" s="138" t="s">
        <v>1099</v>
      </c>
      <c r="B661" s="12" t="s">
        <v>1049</v>
      </c>
      <c r="C661" s="12" t="s">
        <v>50</v>
      </c>
      <c r="D661" s="68">
        <f>D662</f>
        <v>1336.2649999999999</v>
      </c>
      <c r="E661" s="77"/>
    </row>
    <row r="662" spans="1:5" ht="51" customHeight="1" x14ac:dyDescent="0.3">
      <c r="A662" s="138" t="s">
        <v>425</v>
      </c>
      <c r="B662" s="12" t="s">
        <v>1049</v>
      </c>
      <c r="C662" s="13" t="s">
        <v>59</v>
      </c>
      <c r="D662" s="68">
        <f>'В-25'!G803</f>
        <v>1336.2649999999999</v>
      </c>
      <c r="E662" s="77"/>
    </row>
    <row r="663" spans="1:5" ht="95.25" customHeight="1" x14ac:dyDescent="0.3">
      <c r="A663" s="138" t="s">
        <v>1100</v>
      </c>
      <c r="B663" s="42" t="s">
        <v>1050</v>
      </c>
      <c r="C663" s="12" t="s">
        <v>50</v>
      </c>
      <c r="D663" s="68">
        <f>D664</f>
        <v>980.6629999999999</v>
      </c>
      <c r="E663" s="77"/>
    </row>
    <row r="664" spans="1:5" ht="51" customHeight="1" x14ac:dyDescent="0.3">
      <c r="A664" s="138" t="s">
        <v>425</v>
      </c>
      <c r="B664" s="42" t="s">
        <v>1050</v>
      </c>
      <c r="C664" s="13" t="s">
        <v>59</v>
      </c>
      <c r="D664" s="68">
        <f>'В-25'!G805</f>
        <v>980.6629999999999</v>
      </c>
      <c r="E664" s="77"/>
    </row>
    <row r="665" spans="1:5" ht="105.75" customHeight="1" x14ac:dyDescent="0.3">
      <c r="A665" s="138" t="s">
        <v>1101</v>
      </c>
      <c r="B665" s="42" t="s">
        <v>1051</v>
      </c>
      <c r="C665" s="42" t="s">
        <v>50</v>
      </c>
      <c r="D665" s="68">
        <f>D666</f>
        <v>997.05700000000002</v>
      </c>
      <c r="E665" s="77"/>
    </row>
    <row r="666" spans="1:5" ht="45" customHeight="1" x14ac:dyDescent="0.3">
      <c r="A666" s="138" t="s">
        <v>425</v>
      </c>
      <c r="B666" s="42" t="s">
        <v>1051</v>
      </c>
      <c r="C666" s="42" t="s">
        <v>59</v>
      </c>
      <c r="D666" s="68">
        <f>'В-25'!G807</f>
        <v>997.05700000000002</v>
      </c>
      <c r="E666" s="77"/>
    </row>
    <row r="667" spans="1:5" ht="96" customHeight="1" x14ac:dyDescent="0.3">
      <c r="A667" s="138" t="s">
        <v>1102</v>
      </c>
      <c r="B667" s="12" t="s">
        <v>1052</v>
      </c>
      <c r="C667" s="42" t="s">
        <v>50</v>
      </c>
      <c r="D667" s="68">
        <f>D668</f>
        <v>1495.55</v>
      </c>
      <c r="E667" s="77"/>
    </row>
    <row r="668" spans="1:5" ht="45" customHeight="1" x14ac:dyDescent="0.3">
      <c r="A668" s="138" t="s">
        <v>425</v>
      </c>
      <c r="B668" s="12" t="s">
        <v>1052</v>
      </c>
      <c r="C668" s="42" t="s">
        <v>59</v>
      </c>
      <c r="D668" s="68">
        <f>'В-25'!G809</f>
        <v>1495.55</v>
      </c>
      <c r="E668" s="77"/>
    </row>
    <row r="669" spans="1:5" ht="93.75" customHeight="1" x14ac:dyDescent="0.3">
      <c r="A669" s="138" t="s">
        <v>1103</v>
      </c>
      <c r="B669" s="12" t="s">
        <v>1053</v>
      </c>
      <c r="C669" s="42" t="s">
        <v>50</v>
      </c>
      <c r="D669" s="68">
        <f>D670</f>
        <v>357.37099999999998</v>
      </c>
      <c r="E669" s="77"/>
    </row>
    <row r="670" spans="1:5" ht="27" customHeight="1" x14ac:dyDescent="0.3">
      <c r="A670" s="138" t="s">
        <v>58</v>
      </c>
      <c r="B670" s="12" t="s">
        <v>1053</v>
      </c>
      <c r="C670" s="42" t="s">
        <v>59</v>
      </c>
      <c r="D670" s="68">
        <f>'В-25'!G1021</f>
        <v>357.37099999999998</v>
      </c>
      <c r="E670" s="77"/>
    </row>
    <row r="671" spans="1:5" ht="125.1" customHeight="1" x14ac:dyDescent="0.3">
      <c r="A671" s="138" t="s">
        <v>1104</v>
      </c>
      <c r="B671" s="12" t="s">
        <v>1054</v>
      </c>
      <c r="C671" s="12" t="s">
        <v>50</v>
      </c>
      <c r="D671" s="68">
        <f>D672</f>
        <v>822.42599999999993</v>
      </c>
      <c r="E671" s="77"/>
    </row>
    <row r="672" spans="1:5" ht="42.75" customHeight="1" x14ac:dyDescent="0.3">
      <c r="A672" s="138" t="s">
        <v>58</v>
      </c>
      <c r="B672" s="12" t="s">
        <v>1054</v>
      </c>
      <c r="C672" s="12" t="s">
        <v>59</v>
      </c>
      <c r="D672" s="68">
        <f>'В-25'!G1023</f>
        <v>822.42599999999993</v>
      </c>
      <c r="E672" s="77"/>
    </row>
    <row r="673" spans="1:5" ht="93.75" customHeight="1" x14ac:dyDescent="0.3">
      <c r="A673" s="138" t="s">
        <v>1118</v>
      </c>
      <c r="B673" s="12" t="s">
        <v>1055</v>
      </c>
      <c r="C673" s="12" t="s">
        <v>50</v>
      </c>
      <c r="D673" s="68">
        <f>D674</f>
        <v>1133.0740000000001</v>
      </c>
      <c r="E673" s="77"/>
    </row>
    <row r="674" spans="1:5" ht="42.75" customHeight="1" x14ac:dyDescent="0.3">
      <c r="A674" s="138" t="s">
        <v>425</v>
      </c>
      <c r="B674" s="12" t="s">
        <v>1055</v>
      </c>
      <c r="C674" s="12" t="s">
        <v>59</v>
      </c>
      <c r="D674" s="68">
        <f>'В-25'!G1534</f>
        <v>1133.0740000000001</v>
      </c>
      <c r="E674" s="77"/>
    </row>
    <row r="675" spans="1:5" ht="93" customHeight="1" x14ac:dyDescent="0.3">
      <c r="A675" s="138" t="s">
        <v>1106</v>
      </c>
      <c r="B675" s="12" t="s">
        <v>1056</v>
      </c>
      <c r="C675" s="42" t="s">
        <v>50</v>
      </c>
      <c r="D675" s="68">
        <f>D676</f>
        <v>1215.6190000000001</v>
      </c>
      <c r="E675" s="77"/>
    </row>
    <row r="676" spans="1:5" ht="42.75" customHeight="1" x14ac:dyDescent="0.3">
      <c r="A676" s="138" t="s">
        <v>425</v>
      </c>
      <c r="B676" s="12" t="s">
        <v>1056</v>
      </c>
      <c r="C676" s="42" t="s">
        <v>59</v>
      </c>
      <c r="D676" s="68">
        <f>'В-25'!G1536</f>
        <v>1215.6190000000001</v>
      </c>
      <c r="E676" s="77"/>
    </row>
    <row r="677" spans="1:5" ht="130.5" customHeight="1" x14ac:dyDescent="0.3">
      <c r="A677" s="138" t="s">
        <v>1105</v>
      </c>
      <c r="B677" s="12" t="s">
        <v>1057</v>
      </c>
      <c r="C677" s="42" t="s">
        <v>50</v>
      </c>
      <c r="D677" s="68">
        <f>D678</f>
        <v>1468.1</v>
      </c>
      <c r="E677" s="77"/>
    </row>
    <row r="678" spans="1:5" ht="42.75" customHeight="1" x14ac:dyDescent="0.3">
      <c r="A678" s="138" t="s">
        <v>264</v>
      </c>
      <c r="B678" s="12" t="s">
        <v>1057</v>
      </c>
      <c r="C678" s="1">
        <v>600</v>
      </c>
      <c r="D678" s="68">
        <f>'В-25'!G1382</f>
        <v>1468.1</v>
      </c>
      <c r="E678" s="77"/>
    </row>
    <row r="679" spans="1:5" ht="108.75" customHeight="1" x14ac:dyDescent="0.3">
      <c r="A679" s="138" t="s">
        <v>1107</v>
      </c>
      <c r="B679" s="12" t="s">
        <v>1058</v>
      </c>
      <c r="C679" s="42" t="s">
        <v>50</v>
      </c>
      <c r="D679" s="68">
        <f>D680</f>
        <v>1463.162</v>
      </c>
      <c r="E679" s="77"/>
    </row>
    <row r="680" spans="1:5" ht="42.75" customHeight="1" x14ac:dyDescent="0.3">
      <c r="A680" s="138" t="s">
        <v>264</v>
      </c>
      <c r="B680" s="12" t="s">
        <v>1058</v>
      </c>
      <c r="C680" s="1">
        <v>600</v>
      </c>
      <c r="D680" s="68">
        <f>'В-25'!G1538</f>
        <v>1463.162</v>
      </c>
      <c r="E680" s="77"/>
    </row>
    <row r="681" spans="1:5" ht="123" customHeight="1" x14ac:dyDescent="0.3">
      <c r="A681" s="138" t="s">
        <v>1108</v>
      </c>
      <c r="B681" s="12" t="s">
        <v>1059</v>
      </c>
      <c r="C681" s="42" t="s">
        <v>50</v>
      </c>
      <c r="D681" s="68">
        <f>D682</f>
        <v>930.09600000000012</v>
      </c>
      <c r="E681" s="77"/>
    </row>
    <row r="682" spans="1:5" ht="42.75" customHeight="1" x14ac:dyDescent="0.3">
      <c r="A682" s="138" t="s">
        <v>264</v>
      </c>
      <c r="B682" s="12" t="s">
        <v>1059</v>
      </c>
      <c r="C682" s="1">
        <v>600</v>
      </c>
      <c r="D682" s="68">
        <f>'В-25'!G1384</f>
        <v>930.09600000000012</v>
      </c>
      <c r="E682" s="77"/>
    </row>
    <row r="683" spans="1:5" ht="117.75" hidden="1" customHeight="1" x14ac:dyDescent="0.3">
      <c r="A683" s="138" t="s">
        <v>841</v>
      </c>
      <c r="B683" s="12" t="s">
        <v>883</v>
      </c>
      <c r="C683" s="12" t="s">
        <v>50</v>
      </c>
      <c r="D683" s="68">
        <f>D684</f>
        <v>1133.0740000000001</v>
      </c>
      <c r="E683" s="77"/>
    </row>
    <row r="684" spans="1:5" ht="42.75" hidden="1" customHeight="1" x14ac:dyDescent="0.3">
      <c r="A684" s="138" t="s">
        <v>264</v>
      </c>
      <c r="B684" s="12" t="s">
        <v>883</v>
      </c>
      <c r="C684" s="1">
        <v>600</v>
      </c>
      <c r="D684" s="68">
        <f>'В-25'!G1534</f>
        <v>1133.0740000000001</v>
      </c>
      <c r="E684" s="77"/>
    </row>
    <row r="685" spans="1:5" ht="130.5" hidden="1" customHeight="1" x14ac:dyDescent="0.3">
      <c r="A685" s="138" t="s">
        <v>545</v>
      </c>
      <c r="B685" s="12" t="s">
        <v>549</v>
      </c>
      <c r="C685" s="12" t="s">
        <v>50</v>
      </c>
      <c r="D685" s="68">
        <f>D686</f>
        <v>0</v>
      </c>
      <c r="E685" s="77"/>
    </row>
    <row r="686" spans="1:5" ht="37.5" hidden="1" x14ac:dyDescent="0.3">
      <c r="A686" s="138" t="s">
        <v>425</v>
      </c>
      <c r="B686" s="12" t="s">
        <v>549</v>
      </c>
      <c r="C686" s="12" t="s">
        <v>59</v>
      </c>
      <c r="D686" s="68">
        <v>0</v>
      </c>
      <c r="E686" s="77"/>
    </row>
    <row r="687" spans="1:5" ht="75" hidden="1" x14ac:dyDescent="0.3">
      <c r="A687" s="138" t="s">
        <v>546</v>
      </c>
      <c r="B687" s="12" t="s">
        <v>540</v>
      </c>
      <c r="C687" s="12" t="s">
        <v>50</v>
      </c>
      <c r="D687" s="68">
        <f>D688</f>
        <v>0</v>
      </c>
      <c r="E687" s="77"/>
    </row>
    <row r="688" spans="1:5" ht="37.5" hidden="1" x14ac:dyDescent="0.3">
      <c r="A688" s="138" t="s">
        <v>425</v>
      </c>
      <c r="B688" s="12" t="s">
        <v>600</v>
      </c>
      <c r="C688" s="12" t="s">
        <v>59</v>
      </c>
      <c r="D688" s="68">
        <f>'В-25'!G214</f>
        <v>0</v>
      </c>
      <c r="E688" s="77"/>
    </row>
    <row r="689" spans="1:5" ht="75" hidden="1" x14ac:dyDescent="0.3">
      <c r="A689" s="138" t="s">
        <v>754</v>
      </c>
      <c r="B689" s="42" t="s">
        <v>751</v>
      </c>
      <c r="C689" s="12" t="s">
        <v>50</v>
      </c>
      <c r="D689" s="68">
        <f>D690</f>
        <v>0</v>
      </c>
      <c r="E689" s="77"/>
    </row>
    <row r="690" spans="1:5" ht="37.5" hidden="1" x14ac:dyDescent="0.3">
      <c r="A690" s="138" t="s">
        <v>425</v>
      </c>
      <c r="B690" s="42" t="s">
        <v>751</v>
      </c>
      <c r="C690" s="42" t="s">
        <v>59</v>
      </c>
      <c r="D690" s="68">
        <f>'В-25'!G1031</f>
        <v>0</v>
      </c>
      <c r="E690" s="77"/>
    </row>
    <row r="691" spans="1:5" ht="93.75" hidden="1" x14ac:dyDescent="0.3">
      <c r="A691" s="138" t="s">
        <v>765</v>
      </c>
      <c r="B691" s="42" t="s">
        <v>764</v>
      </c>
      <c r="C691" s="42" t="s">
        <v>50</v>
      </c>
      <c r="D691" s="68">
        <f>D692</f>
        <v>0</v>
      </c>
      <c r="E691" s="77"/>
    </row>
    <row r="692" spans="1:5" ht="37.5" hidden="1" x14ac:dyDescent="0.3">
      <c r="A692" s="138" t="s">
        <v>425</v>
      </c>
      <c r="B692" s="42" t="s">
        <v>764</v>
      </c>
      <c r="C692" s="42" t="s">
        <v>59</v>
      </c>
      <c r="D692" s="68">
        <f>'В-25'!G1033</f>
        <v>0</v>
      </c>
      <c r="E692" s="77"/>
    </row>
    <row r="693" spans="1:5" ht="93.75" hidden="1" x14ac:dyDescent="0.3">
      <c r="A693" s="138" t="s">
        <v>895</v>
      </c>
      <c r="B693" s="42" t="s">
        <v>896</v>
      </c>
      <c r="C693" s="12" t="s">
        <v>50</v>
      </c>
      <c r="D693" s="68">
        <f>D694</f>
        <v>0</v>
      </c>
      <c r="E693" s="77"/>
    </row>
    <row r="694" spans="1:5" ht="37.5" hidden="1" x14ac:dyDescent="0.3">
      <c r="A694" s="138" t="s">
        <v>425</v>
      </c>
      <c r="B694" s="42" t="s">
        <v>896</v>
      </c>
      <c r="C694" s="42" t="s">
        <v>59</v>
      </c>
      <c r="D694" s="68">
        <f>'В-25'!G1035</f>
        <v>0</v>
      </c>
      <c r="E694" s="77"/>
    </row>
    <row r="695" spans="1:5" ht="75" hidden="1" x14ac:dyDescent="0.3">
      <c r="A695" s="138" t="s">
        <v>897</v>
      </c>
      <c r="B695" s="42" t="s">
        <v>898</v>
      </c>
      <c r="C695" s="12" t="s">
        <v>50</v>
      </c>
      <c r="D695" s="68">
        <f>D696</f>
        <v>0</v>
      </c>
      <c r="E695" s="77"/>
    </row>
    <row r="696" spans="1:5" ht="37.5" hidden="1" x14ac:dyDescent="0.3">
      <c r="A696" s="138" t="s">
        <v>425</v>
      </c>
      <c r="B696" s="42" t="s">
        <v>898</v>
      </c>
      <c r="C696" s="42" t="s">
        <v>59</v>
      </c>
      <c r="D696" s="68">
        <f>'В-25'!G1037</f>
        <v>0</v>
      </c>
      <c r="E696" s="77"/>
    </row>
    <row r="697" spans="1:5" ht="112.5" hidden="1" x14ac:dyDescent="0.3">
      <c r="A697" s="138" t="s">
        <v>711</v>
      </c>
      <c r="B697" s="13" t="s">
        <v>899</v>
      </c>
      <c r="C697" s="13" t="s">
        <v>50</v>
      </c>
      <c r="D697" s="68">
        <f>D698</f>
        <v>0</v>
      </c>
      <c r="E697" s="77"/>
    </row>
    <row r="698" spans="1:5" ht="37.5" hidden="1" x14ac:dyDescent="0.3">
      <c r="A698" s="138" t="s">
        <v>264</v>
      </c>
      <c r="B698" s="13" t="s">
        <v>899</v>
      </c>
      <c r="C698" s="13" t="s">
        <v>261</v>
      </c>
      <c r="D698" s="68">
        <f>'В-25'!G1386</f>
        <v>0</v>
      </c>
      <c r="E698" s="77"/>
    </row>
    <row r="699" spans="1:5" ht="75" hidden="1" x14ac:dyDescent="0.3">
      <c r="A699" s="138" t="s">
        <v>900</v>
      </c>
      <c r="B699" s="42" t="s">
        <v>901</v>
      </c>
      <c r="C699" s="42" t="s">
        <v>50</v>
      </c>
      <c r="D699" s="68">
        <f>D700</f>
        <v>997.05700000000002</v>
      </c>
      <c r="E699" s="77"/>
    </row>
    <row r="700" spans="1:5" ht="37.5" hidden="1" x14ac:dyDescent="0.3">
      <c r="A700" s="138" t="s">
        <v>425</v>
      </c>
      <c r="B700" s="42" t="s">
        <v>901</v>
      </c>
      <c r="C700" s="42" t="s">
        <v>59</v>
      </c>
      <c r="D700" s="68">
        <f>'В-25'!G807</f>
        <v>997.05700000000002</v>
      </c>
      <c r="E700" s="77"/>
    </row>
    <row r="701" spans="1:5" s="217" customFormat="1" ht="56.25" x14ac:dyDescent="0.3">
      <c r="A701" s="164" t="s">
        <v>253</v>
      </c>
      <c r="B701" s="7" t="s">
        <v>256</v>
      </c>
      <c r="C701" s="7" t="s">
        <v>50</v>
      </c>
      <c r="D701" s="189">
        <f>D702+D705+D707+D709+D711+D713+D715+D717+D719+D721+D723+D725+D727+D729+D731+D733+D735+D780</f>
        <v>10514.594999999999</v>
      </c>
      <c r="E701" s="216"/>
    </row>
    <row r="702" spans="1:5" ht="93.75" x14ac:dyDescent="0.3">
      <c r="A702" s="138" t="s">
        <v>1093</v>
      </c>
      <c r="B702" s="12" t="s">
        <v>884</v>
      </c>
      <c r="C702" s="12" t="s">
        <v>50</v>
      </c>
      <c r="D702" s="68">
        <f>D704+D703</f>
        <v>161.37900000000002</v>
      </c>
      <c r="E702" s="77"/>
    </row>
    <row r="703" spans="1:5" ht="37.5" x14ac:dyDescent="0.3">
      <c r="A703" s="138" t="s">
        <v>425</v>
      </c>
      <c r="B703" s="12" t="s">
        <v>884</v>
      </c>
      <c r="C703" s="12" t="s">
        <v>59</v>
      </c>
      <c r="D703" s="68">
        <f>'В-25'!G811</f>
        <v>161.37900000000002</v>
      </c>
      <c r="E703" s="77"/>
    </row>
    <row r="704" spans="1:5" ht="37.5" hidden="1" x14ac:dyDescent="0.3">
      <c r="A704" s="138" t="s">
        <v>264</v>
      </c>
      <c r="B704" s="13" t="s">
        <v>599</v>
      </c>
      <c r="C704" s="13" t="s">
        <v>261</v>
      </c>
      <c r="D704" s="68">
        <f>'В-25'!G1335</f>
        <v>0</v>
      </c>
      <c r="E704" s="77"/>
    </row>
    <row r="705" spans="1:5" ht="112.5" x14ac:dyDescent="0.3">
      <c r="A705" s="138" t="s">
        <v>1109</v>
      </c>
      <c r="B705" s="12" t="s">
        <v>1060</v>
      </c>
      <c r="C705" s="42" t="s">
        <v>50</v>
      </c>
      <c r="D705" s="68">
        <f>D706</f>
        <v>592.51700000000005</v>
      </c>
      <c r="E705" s="77"/>
    </row>
    <row r="706" spans="1:5" ht="37.5" x14ac:dyDescent="0.3">
      <c r="A706" s="138" t="s">
        <v>425</v>
      </c>
      <c r="B706" s="12" t="s">
        <v>1060</v>
      </c>
      <c r="C706" s="42" t="s">
        <v>59</v>
      </c>
      <c r="D706" s="68">
        <f>'В-25'!G813</f>
        <v>592.51700000000005</v>
      </c>
      <c r="E706" s="77"/>
    </row>
    <row r="707" spans="1:5" ht="75" x14ac:dyDescent="0.3">
      <c r="A707" s="138" t="s">
        <v>1095</v>
      </c>
      <c r="B707" s="12" t="s">
        <v>1061</v>
      </c>
      <c r="C707" s="42" t="s">
        <v>50</v>
      </c>
      <c r="D707" s="68">
        <f>D708</f>
        <v>339.238</v>
      </c>
      <c r="E707" s="77"/>
    </row>
    <row r="708" spans="1:5" ht="37.5" x14ac:dyDescent="0.3">
      <c r="A708" s="138" t="s">
        <v>425</v>
      </c>
      <c r="B708" s="12" t="s">
        <v>1061</v>
      </c>
      <c r="C708" s="42" t="s">
        <v>59</v>
      </c>
      <c r="D708" s="68">
        <f>'В-25'!G815</f>
        <v>339.238</v>
      </c>
      <c r="E708" s="77"/>
    </row>
    <row r="709" spans="1:5" ht="112.5" x14ac:dyDescent="0.3">
      <c r="A709" s="138" t="s">
        <v>1110</v>
      </c>
      <c r="B709" s="12" t="s">
        <v>1062</v>
      </c>
      <c r="C709" s="42" t="s">
        <v>50</v>
      </c>
      <c r="D709" s="68">
        <f>D710</f>
        <v>479.75400000000002</v>
      </c>
      <c r="E709" s="77"/>
    </row>
    <row r="710" spans="1:5" ht="37.5" x14ac:dyDescent="0.3">
      <c r="A710" s="138" t="s">
        <v>425</v>
      </c>
      <c r="B710" s="12" t="s">
        <v>1062</v>
      </c>
      <c r="C710" s="42" t="s">
        <v>59</v>
      </c>
      <c r="D710" s="68">
        <f>'В-25'!G817</f>
        <v>479.75400000000002</v>
      </c>
      <c r="E710" s="77"/>
    </row>
    <row r="711" spans="1:5" ht="93.75" x14ac:dyDescent="0.3">
      <c r="A711" s="138" t="s">
        <v>1097</v>
      </c>
      <c r="B711" s="42" t="s">
        <v>1063</v>
      </c>
      <c r="C711" s="12" t="s">
        <v>50</v>
      </c>
      <c r="D711" s="68">
        <f>D712</f>
        <v>1063.0170000000001</v>
      </c>
      <c r="E711" s="77"/>
    </row>
    <row r="712" spans="1:5" ht="37.5" x14ac:dyDescent="0.3">
      <c r="A712" s="138" t="s">
        <v>425</v>
      </c>
      <c r="B712" s="42" t="s">
        <v>1063</v>
      </c>
      <c r="C712" s="42" t="s">
        <v>59</v>
      </c>
      <c r="D712" s="68">
        <f>'В-25'!G819</f>
        <v>1063.0170000000001</v>
      </c>
      <c r="E712" s="77"/>
    </row>
    <row r="713" spans="1:5" ht="93.75" x14ac:dyDescent="0.3">
      <c r="A713" s="138" t="s">
        <v>1111</v>
      </c>
      <c r="B713" s="42" t="s">
        <v>1064</v>
      </c>
      <c r="C713" s="12" t="s">
        <v>50</v>
      </c>
      <c r="D713" s="68">
        <f>D714</f>
        <v>46.41</v>
      </c>
      <c r="E713" s="77"/>
    </row>
    <row r="714" spans="1:5" ht="37.5" x14ac:dyDescent="0.3">
      <c r="A714" s="138" t="s">
        <v>425</v>
      </c>
      <c r="B714" s="42" t="s">
        <v>1064</v>
      </c>
      <c r="C714" s="42" t="s">
        <v>59</v>
      </c>
      <c r="D714" s="68">
        <f>'В-25'!G821</f>
        <v>46.41</v>
      </c>
      <c r="E714" s="77"/>
    </row>
    <row r="715" spans="1:5" ht="75" x14ac:dyDescent="0.3">
      <c r="A715" s="138" t="s">
        <v>1112</v>
      </c>
      <c r="B715" s="42" t="s">
        <v>1065</v>
      </c>
      <c r="C715" s="13" t="s">
        <v>50</v>
      </c>
      <c r="D715" s="68">
        <f>D716</f>
        <v>4010.4559999999997</v>
      </c>
      <c r="E715" s="77"/>
    </row>
    <row r="716" spans="1:5" ht="37.5" x14ac:dyDescent="0.3">
      <c r="A716" s="138" t="s">
        <v>425</v>
      </c>
      <c r="B716" s="42" t="s">
        <v>1065</v>
      </c>
      <c r="C716" s="13" t="s">
        <v>59</v>
      </c>
      <c r="D716" s="68">
        <f>'В-25'!G823</f>
        <v>4010.4559999999997</v>
      </c>
      <c r="E716" s="77"/>
    </row>
    <row r="717" spans="1:5" ht="75" x14ac:dyDescent="0.3">
      <c r="A717" s="138" t="s">
        <v>1113</v>
      </c>
      <c r="B717" s="42" t="s">
        <v>1066</v>
      </c>
      <c r="C717" s="13" t="s">
        <v>50</v>
      </c>
      <c r="D717" s="68">
        <f>D718</f>
        <v>125.01999999999998</v>
      </c>
      <c r="E717" s="77"/>
    </row>
    <row r="718" spans="1:5" ht="37.5" x14ac:dyDescent="0.3">
      <c r="A718" s="138" t="s">
        <v>425</v>
      </c>
      <c r="B718" s="42" t="s">
        <v>1066</v>
      </c>
      <c r="C718" s="13" t="s">
        <v>59</v>
      </c>
      <c r="D718" s="68">
        <f>'В-25'!G825</f>
        <v>125.01999999999998</v>
      </c>
      <c r="E718" s="77"/>
    </row>
    <row r="719" spans="1:5" ht="93.75" x14ac:dyDescent="0.3">
      <c r="A719" s="138" t="s">
        <v>1114</v>
      </c>
      <c r="B719" s="42" t="s">
        <v>1067</v>
      </c>
      <c r="C719" s="12" t="s">
        <v>50</v>
      </c>
      <c r="D719" s="68">
        <f>D720</f>
        <v>139.6</v>
      </c>
      <c r="E719" s="77"/>
    </row>
    <row r="720" spans="1:5" ht="37.5" x14ac:dyDescent="0.3">
      <c r="A720" s="138" t="s">
        <v>425</v>
      </c>
      <c r="B720" s="42" t="s">
        <v>1067</v>
      </c>
      <c r="C720" s="13" t="s">
        <v>59</v>
      </c>
      <c r="D720" s="68">
        <f>'В-25'!G827</f>
        <v>139.6</v>
      </c>
      <c r="E720" s="77"/>
    </row>
    <row r="721" spans="1:5" ht="93.75" x14ac:dyDescent="0.3">
      <c r="A721" s="138" t="s">
        <v>1115</v>
      </c>
      <c r="B721" s="12" t="s">
        <v>1068</v>
      </c>
      <c r="C721" s="12" t="s">
        <v>50</v>
      </c>
      <c r="D721" s="68">
        <f>D722</f>
        <v>225.4</v>
      </c>
      <c r="E721" s="77"/>
    </row>
    <row r="722" spans="1:5" ht="37.5" x14ac:dyDescent="0.3">
      <c r="A722" s="138" t="s">
        <v>264</v>
      </c>
      <c r="B722" s="12" t="s">
        <v>1068</v>
      </c>
      <c r="C722" s="1">
        <v>600</v>
      </c>
      <c r="D722" s="68">
        <f>'В-25'!G829</f>
        <v>225.4</v>
      </c>
      <c r="E722" s="77"/>
    </row>
    <row r="723" spans="1:5" ht="93.75" x14ac:dyDescent="0.3">
      <c r="A723" s="138" t="s">
        <v>1116</v>
      </c>
      <c r="B723" s="12" t="s">
        <v>1069</v>
      </c>
      <c r="C723" s="12" t="s">
        <v>50</v>
      </c>
      <c r="D723" s="68">
        <f>D724</f>
        <v>50</v>
      </c>
      <c r="E723" s="77"/>
    </row>
    <row r="724" spans="1:5" ht="37.5" x14ac:dyDescent="0.3">
      <c r="A724" s="138" t="s">
        <v>425</v>
      </c>
      <c r="B724" s="12" t="s">
        <v>1069</v>
      </c>
      <c r="C724" s="42" t="s">
        <v>59</v>
      </c>
      <c r="D724" s="68">
        <f>'В-25'!G1042</f>
        <v>50</v>
      </c>
      <c r="E724" s="77"/>
    </row>
    <row r="725" spans="1:5" ht="93.75" x14ac:dyDescent="0.3">
      <c r="A725" s="138" t="s">
        <v>1117</v>
      </c>
      <c r="B725" s="12" t="s">
        <v>1070</v>
      </c>
      <c r="C725" s="12" t="s">
        <v>50</v>
      </c>
      <c r="D725" s="68">
        <f>D726</f>
        <v>168</v>
      </c>
      <c r="E725" s="77"/>
    </row>
    <row r="726" spans="1:5" ht="37.5" x14ac:dyDescent="0.3">
      <c r="A726" s="138" t="s">
        <v>425</v>
      </c>
      <c r="B726" s="12" t="s">
        <v>1070</v>
      </c>
      <c r="C726" s="42" t="s">
        <v>59</v>
      </c>
      <c r="D726" s="68">
        <f>'В-25'!G1044</f>
        <v>168</v>
      </c>
      <c r="E726" s="77"/>
    </row>
    <row r="727" spans="1:5" ht="128.25" customHeight="1" x14ac:dyDescent="0.3">
      <c r="A727" s="138" t="s">
        <v>1118</v>
      </c>
      <c r="B727" s="12" t="s">
        <v>1071</v>
      </c>
      <c r="C727" s="42" t="s">
        <v>50</v>
      </c>
      <c r="D727" s="68">
        <f>D728</f>
        <v>153.4</v>
      </c>
      <c r="E727" s="77"/>
    </row>
    <row r="728" spans="1:5" ht="37.5" x14ac:dyDescent="0.3">
      <c r="A728" s="138" t="s">
        <v>425</v>
      </c>
      <c r="B728" s="12" t="s">
        <v>1071</v>
      </c>
      <c r="C728" s="42" t="s">
        <v>59</v>
      </c>
      <c r="D728" s="68">
        <f>'В-25'!G1540</f>
        <v>153.4</v>
      </c>
      <c r="E728" s="77"/>
    </row>
    <row r="729" spans="1:5" ht="93.75" x14ac:dyDescent="0.3">
      <c r="A729" s="138" t="s">
        <v>1106</v>
      </c>
      <c r="B729" s="42" t="s">
        <v>1072</v>
      </c>
      <c r="C729" s="12" t="s">
        <v>50</v>
      </c>
      <c r="D729" s="68">
        <f>D730</f>
        <v>787.197</v>
      </c>
      <c r="E729" s="77"/>
    </row>
    <row r="730" spans="1:5" ht="37.5" x14ac:dyDescent="0.3">
      <c r="A730" s="138" t="s">
        <v>425</v>
      </c>
      <c r="B730" s="42" t="s">
        <v>1072</v>
      </c>
      <c r="C730" s="42" t="s">
        <v>59</v>
      </c>
      <c r="D730" s="68">
        <f>'В-25'!G1544</f>
        <v>787.197</v>
      </c>
      <c r="E730" s="77"/>
    </row>
    <row r="731" spans="1:5" ht="93.75" x14ac:dyDescent="0.3">
      <c r="A731" s="138" t="s">
        <v>1105</v>
      </c>
      <c r="B731" s="12" t="s">
        <v>1073</v>
      </c>
      <c r="C731" s="42" t="s">
        <v>50</v>
      </c>
      <c r="D731" s="68">
        <f>D732</f>
        <v>180</v>
      </c>
      <c r="E731" s="77"/>
    </row>
    <row r="732" spans="1:5" ht="37.5" x14ac:dyDescent="0.3">
      <c r="A732" s="138" t="s">
        <v>264</v>
      </c>
      <c r="B732" s="12" t="s">
        <v>1073</v>
      </c>
      <c r="C732" s="42" t="s">
        <v>261</v>
      </c>
      <c r="D732" s="68">
        <f>'В-25'!G1388</f>
        <v>180</v>
      </c>
      <c r="E732" s="77"/>
    </row>
    <row r="733" spans="1:5" ht="93.75" x14ac:dyDescent="0.3">
      <c r="A733" s="138" t="s">
        <v>1107</v>
      </c>
      <c r="B733" s="12" t="s">
        <v>1074</v>
      </c>
      <c r="C733" s="42" t="s">
        <v>50</v>
      </c>
      <c r="D733" s="68">
        <f>D734</f>
        <v>710.9670000000001</v>
      </c>
      <c r="E733" s="77"/>
    </row>
    <row r="734" spans="1:5" ht="37.5" x14ac:dyDescent="0.3">
      <c r="A734" s="138" t="s">
        <v>264</v>
      </c>
      <c r="B734" s="12" t="s">
        <v>1074</v>
      </c>
      <c r="C734" s="42" t="s">
        <v>261</v>
      </c>
      <c r="D734" s="68">
        <f>'В-25'!G1546</f>
        <v>710.9670000000001</v>
      </c>
      <c r="E734" s="77"/>
    </row>
    <row r="735" spans="1:5" ht="131.25" x14ac:dyDescent="0.3">
      <c r="A735" s="138" t="s">
        <v>1119</v>
      </c>
      <c r="B735" s="12" t="s">
        <v>1075</v>
      </c>
      <c r="C735" s="42" t="s">
        <v>50</v>
      </c>
      <c r="D735" s="68">
        <f>D736</f>
        <v>252.49</v>
      </c>
      <c r="E735" s="77"/>
    </row>
    <row r="736" spans="1:5" ht="37.5" x14ac:dyDescent="0.3">
      <c r="A736" s="138" t="s">
        <v>264</v>
      </c>
      <c r="B736" s="12" t="s">
        <v>1075</v>
      </c>
      <c r="C736" s="42" t="s">
        <v>261</v>
      </c>
      <c r="D736" s="68">
        <f>'В-25'!G1390</f>
        <v>252.49</v>
      </c>
      <c r="E736" s="77"/>
    </row>
    <row r="737" spans="1:5" s="217" customFormat="1" ht="75" hidden="1" x14ac:dyDescent="0.3">
      <c r="A737" s="150" t="s">
        <v>730</v>
      </c>
      <c r="B737" s="39" t="s">
        <v>731</v>
      </c>
      <c r="C737" s="7" t="s">
        <v>50</v>
      </c>
      <c r="D737" s="189">
        <f>D738+D740+D742+D744+D764</f>
        <v>0</v>
      </c>
      <c r="E737" s="216"/>
    </row>
    <row r="738" spans="1:5" ht="112.5" hidden="1" x14ac:dyDescent="0.3">
      <c r="A738" s="138" t="s">
        <v>732</v>
      </c>
      <c r="B738" s="42" t="s">
        <v>733</v>
      </c>
      <c r="C738" s="12" t="s">
        <v>50</v>
      </c>
      <c r="D738" s="68">
        <f>D739</f>
        <v>0</v>
      </c>
      <c r="E738" s="77"/>
    </row>
    <row r="739" spans="1:5" ht="37.5" hidden="1" x14ac:dyDescent="0.3">
      <c r="A739" s="138" t="s">
        <v>425</v>
      </c>
      <c r="B739" s="42" t="s">
        <v>733</v>
      </c>
      <c r="C739" s="42" t="s">
        <v>59</v>
      </c>
      <c r="D739" s="68">
        <f>'В-25'!G1085</f>
        <v>0</v>
      </c>
      <c r="E739" s="77"/>
    </row>
    <row r="740" spans="1:5" ht="112.5" hidden="1" x14ac:dyDescent="0.3">
      <c r="A740" s="138" t="s">
        <v>735</v>
      </c>
      <c r="B740" s="42" t="s">
        <v>734</v>
      </c>
      <c r="C740" s="12" t="s">
        <v>50</v>
      </c>
      <c r="D740" s="68">
        <f>D741</f>
        <v>0</v>
      </c>
      <c r="E740" s="77"/>
    </row>
    <row r="741" spans="1:5" ht="37.5" hidden="1" x14ac:dyDescent="0.3">
      <c r="A741" s="138" t="s">
        <v>425</v>
      </c>
      <c r="B741" s="42" t="s">
        <v>734</v>
      </c>
      <c r="C741" s="42" t="s">
        <v>59</v>
      </c>
      <c r="D741" s="68">
        <f>'В-25'!G1087</f>
        <v>0</v>
      </c>
      <c r="E741" s="77"/>
    </row>
    <row r="742" spans="1:5" ht="93.75" hidden="1" x14ac:dyDescent="0.3">
      <c r="A742" s="138" t="s">
        <v>736</v>
      </c>
      <c r="B742" s="42" t="s">
        <v>744</v>
      </c>
      <c r="C742" s="12" t="s">
        <v>50</v>
      </c>
      <c r="D742" s="68">
        <f>D743</f>
        <v>0</v>
      </c>
      <c r="E742" s="77"/>
    </row>
    <row r="743" spans="1:5" ht="37.5" hidden="1" x14ac:dyDescent="0.3">
      <c r="A743" s="138" t="s">
        <v>425</v>
      </c>
      <c r="B743" s="42" t="s">
        <v>744</v>
      </c>
      <c r="C743" s="42" t="s">
        <v>59</v>
      </c>
      <c r="D743" s="68">
        <f>'В-25'!G1089</f>
        <v>0</v>
      </c>
      <c r="E743" s="77"/>
    </row>
    <row r="744" spans="1:5" ht="112.5" hidden="1" x14ac:dyDescent="0.3">
      <c r="A744" s="138" t="s">
        <v>738</v>
      </c>
      <c r="B744" s="42" t="s">
        <v>737</v>
      </c>
      <c r="C744" s="12" t="s">
        <v>50</v>
      </c>
      <c r="D744" s="68">
        <f>D745</f>
        <v>0</v>
      </c>
      <c r="E744" s="77"/>
    </row>
    <row r="745" spans="1:5" ht="37.5" hidden="1" x14ac:dyDescent="0.3">
      <c r="A745" s="138" t="s">
        <v>425</v>
      </c>
      <c r="B745" s="42" t="s">
        <v>737</v>
      </c>
      <c r="C745" s="42" t="s">
        <v>59</v>
      </c>
      <c r="D745" s="68">
        <f>'В-25'!G1091</f>
        <v>0</v>
      </c>
      <c r="E745" s="77"/>
    </row>
    <row r="746" spans="1:5" ht="93.75" hidden="1" x14ac:dyDescent="0.3">
      <c r="A746" s="138" t="s">
        <v>552</v>
      </c>
      <c r="B746" s="12" t="s">
        <v>597</v>
      </c>
      <c r="C746" s="12" t="s">
        <v>50</v>
      </c>
      <c r="D746" s="68">
        <f>D747</f>
        <v>0</v>
      </c>
      <c r="E746" s="77"/>
    </row>
    <row r="747" spans="1:5" ht="37.5" hidden="1" x14ac:dyDescent="0.3">
      <c r="A747" s="138" t="s">
        <v>425</v>
      </c>
      <c r="B747" s="12" t="s">
        <v>597</v>
      </c>
      <c r="C747" s="12" t="s">
        <v>59</v>
      </c>
      <c r="D747" s="68">
        <f>'В-25'!G482</f>
        <v>0</v>
      </c>
      <c r="E747" s="77"/>
    </row>
    <row r="748" spans="1:5" ht="112.5" hidden="1" x14ac:dyDescent="0.3">
      <c r="A748" s="138" t="s">
        <v>570</v>
      </c>
      <c r="B748" s="42" t="s">
        <v>596</v>
      </c>
      <c r="C748" s="12" t="s">
        <v>50</v>
      </c>
      <c r="D748" s="68">
        <f>D749</f>
        <v>0</v>
      </c>
      <c r="E748" s="77"/>
    </row>
    <row r="749" spans="1:5" ht="37.5" hidden="1" x14ac:dyDescent="0.3">
      <c r="A749" s="138" t="s">
        <v>425</v>
      </c>
      <c r="B749" s="42" t="s">
        <v>596</v>
      </c>
      <c r="C749" s="12" t="s">
        <v>59</v>
      </c>
      <c r="D749" s="68">
        <f>'В-25'!G1046</f>
        <v>0</v>
      </c>
      <c r="E749" s="77"/>
    </row>
    <row r="750" spans="1:5" ht="75" hidden="1" x14ac:dyDescent="0.3">
      <c r="A750" s="138" t="s">
        <v>564</v>
      </c>
      <c r="B750" s="42" t="s">
        <v>595</v>
      </c>
      <c r="C750" s="12" t="s">
        <v>50</v>
      </c>
      <c r="D750" s="68">
        <f>D751</f>
        <v>1063.0170000000001</v>
      </c>
      <c r="E750" s="77"/>
    </row>
    <row r="751" spans="1:5" ht="37.5" hidden="1" x14ac:dyDescent="0.3">
      <c r="A751" s="138" t="s">
        <v>425</v>
      </c>
      <c r="B751" s="42" t="s">
        <v>595</v>
      </c>
      <c r="C751" s="12" t="s">
        <v>59</v>
      </c>
      <c r="D751" s="68">
        <f>'В-25'!G819</f>
        <v>1063.0170000000001</v>
      </c>
      <c r="E751" s="77"/>
    </row>
    <row r="752" spans="1:5" ht="93.75" hidden="1" x14ac:dyDescent="0.3">
      <c r="A752" s="138" t="s">
        <v>565</v>
      </c>
      <c r="B752" s="42" t="s">
        <v>594</v>
      </c>
      <c r="C752" s="12" t="s">
        <v>50</v>
      </c>
      <c r="D752" s="68">
        <f>D753</f>
        <v>46.41</v>
      </c>
      <c r="E752" s="77"/>
    </row>
    <row r="753" spans="1:5" ht="37.5" hidden="1" x14ac:dyDescent="0.3">
      <c r="A753" s="138" t="s">
        <v>425</v>
      </c>
      <c r="B753" s="42" t="s">
        <v>594</v>
      </c>
      <c r="C753" s="12" t="s">
        <v>59</v>
      </c>
      <c r="D753" s="68">
        <f>'В-25'!G821</f>
        <v>46.41</v>
      </c>
      <c r="E753" s="77"/>
    </row>
    <row r="754" spans="1:5" ht="93.75" hidden="1" x14ac:dyDescent="0.3">
      <c r="A754" s="138" t="s">
        <v>571</v>
      </c>
      <c r="B754" s="42" t="s">
        <v>593</v>
      </c>
      <c r="C754" s="12" t="s">
        <v>50</v>
      </c>
      <c r="D754" s="68">
        <f>D755</f>
        <v>0</v>
      </c>
      <c r="E754" s="77"/>
    </row>
    <row r="755" spans="1:5" ht="37.5" hidden="1" x14ac:dyDescent="0.3">
      <c r="A755" s="138" t="s">
        <v>425</v>
      </c>
      <c r="B755" s="42" t="s">
        <v>593</v>
      </c>
      <c r="C755" s="12" t="s">
        <v>59</v>
      </c>
      <c r="D755" s="68">
        <f>'В-25'!G1048</f>
        <v>0</v>
      </c>
      <c r="E755" s="77"/>
    </row>
    <row r="756" spans="1:5" ht="93.75" hidden="1" x14ac:dyDescent="0.3">
      <c r="A756" s="138" t="s">
        <v>566</v>
      </c>
      <c r="B756" s="42" t="s">
        <v>592</v>
      </c>
      <c r="C756" s="12" t="s">
        <v>50</v>
      </c>
      <c r="D756" s="68">
        <f>D757</f>
        <v>4010.4559999999997</v>
      </c>
      <c r="E756" s="77"/>
    </row>
    <row r="757" spans="1:5" ht="37.5" hidden="1" x14ac:dyDescent="0.3">
      <c r="A757" s="138" t="s">
        <v>425</v>
      </c>
      <c r="B757" s="42" t="s">
        <v>592</v>
      </c>
      <c r="C757" s="12" t="s">
        <v>59</v>
      </c>
      <c r="D757" s="68">
        <f>'В-25'!G823</f>
        <v>4010.4559999999997</v>
      </c>
      <c r="E757" s="77"/>
    </row>
    <row r="758" spans="1:5" ht="112.5" hidden="1" x14ac:dyDescent="0.3">
      <c r="A758" s="138" t="s">
        <v>577</v>
      </c>
      <c r="B758" s="13" t="s">
        <v>576</v>
      </c>
      <c r="C758" s="12" t="s">
        <v>50</v>
      </c>
      <c r="D758" s="68">
        <f>D759</f>
        <v>0</v>
      </c>
      <c r="E758" s="77"/>
    </row>
    <row r="759" spans="1:5" ht="37.5" hidden="1" x14ac:dyDescent="0.3">
      <c r="A759" s="138" t="s">
        <v>264</v>
      </c>
      <c r="B759" s="13" t="s">
        <v>576</v>
      </c>
      <c r="C759" s="1">
        <v>600</v>
      </c>
      <c r="D759" s="68">
        <f>'В-25'!G1542</f>
        <v>0</v>
      </c>
      <c r="E759" s="77"/>
    </row>
    <row r="760" spans="1:5" ht="156.75" hidden="1" customHeight="1" x14ac:dyDescent="0.3">
      <c r="A760" s="138" t="s">
        <v>545</v>
      </c>
      <c r="B760" s="12" t="s">
        <v>590</v>
      </c>
      <c r="C760" s="12" t="s">
        <v>50</v>
      </c>
      <c r="D760" s="68">
        <f>D761</f>
        <v>0</v>
      </c>
      <c r="E760" s="77"/>
    </row>
    <row r="761" spans="1:5" ht="37.5" hidden="1" x14ac:dyDescent="0.3">
      <c r="A761" s="138" t="s">
        <v>425</v>
      </c>
      <c r="B761" s="12" t="s">
        <v>590</v>
      </c>
      <c r="C761" s="12" t="s">
        <v>59</v>
      </c>
      <c r="D761" s="68">
        <f>'В-25'!G222</f>
        <v>0</v>
      </c>
      <c r="E761" s="77"/>
    </row>
    <row r="762" spans="1:5" ht="75" hidden="1" x14ac:dyDescent="0.3">
      <c r="A762" s="138" t="s">
        <v>546</v>
      </c>
      <c r="B762" s="12" t="s">
        <v>591</v>
      </c>
      <c r="C762" s="12" t="s">
        <v>50</v>
      </c>
      <c r="D762" s="68">
        <f>D763</f>
        <v>0</v>
      </c>
      <c r="E762" s="77"/>
    </row>
    <row r="763" spans="1:5" ht="37.5" hidden="1" x14ac:dyDescent="0.3">
      <c r="A763" s="138" t="s">
        <v>425</v>
      </c>
      <c r="B763" s="12" t="s">
        <v>591</v>
      </c>
      <c r="C763" s="12" t="s">
        <v>59</v>
      </c>
      <c r="D763" s="68">
        <f>'В-25'!G224</f>
        <v>0</v>
      </c>
      <c r="E763" s="77"/>
    </row>
    <row r="764" spans="1:5" ht="131.25" hidden="1" x14ac:dyDescent="0.3">
      <c r="A764" s="138" t="s">
        <v>739</v>
      </c>
      <c r="B764" s="42" t="s">
        <v>740</v>
      </c>
      <c r="C764" s="12" t="s">
        <v>50</v>
      </c>
      <c r="D764" s="68">
        <f>D765</f>
        <v>0</v>
      </c>
      <c r="E764" s="77"/>
    </row>
    <row r="765" spans="1:5" ht="37.5" hidden="1" x14ac:dyDescent="0.3">
      <c r="A765" s="138" t="s">
        <v>264</v>
      </c>
      <c r="B765" s="42" t="s">
        <v>740</v>
      </c>
      <c r="C765" s="42" t="s">
        <v>261</v>
      </c>
      <c r="D765" s="68">
        <f>'В-25'!G1363</f>
        <v>0</v>
      </c>
      <c r="E765" s="77"/>
    </row>
    <row r="766" spans="1:5" ht="112.5" hidden="1" x14ac:dyDescent="0.3">
      <c r="A766" s="138" t="s">
        <v>841</v>
      </c>
      <c r="B766" s="12" t="s">
        <v>885</v>
      </c>
      <c r="C766" s="42" t="s">
        <v>50</v>
      </c>
      <c r="D766" s="68">
        <f>D767</f>
        <v>153.4</v>
      </c>
      <c r="E766" s="77"/>
    </row>
    <row r="767" spans="1:5" ht="37.5" hidden="1" x14ac:dyDescent="0.3">
      <c r="A767" s="138" t="s">
        <v>264</v>
      </c>
      <c r="B767" s="12" t="s">
        <v>885</v>
      </c>
      <c r="C767" s="42" t="s">
        <v>261</v>
      </c>
      <c r="D767" s="68">
        <f>'В-25'!G1540</f>
        <v>153.4</v>
      </c>
      <c r="E767" s="77"/>
    </row>
    <row r="768" spans="1:5" ht="93.75" hidden="1" x14ac:dyDescent="0.3">
      <c r="A768" s="138" t="s">
        <v>895</v>
      </c>
      <c r="B768" s="42" t="s">
        <v>902</v>
      </c>
      <c r="C768" s="12" t="s">
        <v>50</v>
      </c>
      <c r="D768" s="68">
        <f>D769</f>
        <v>0</v>
      </c>
      <c r="E768" s="77"/>
    </row>
    <row r="769" spans="1:5" ht="37.5" hidden="1" x14ac:dyDescent="0.3">
      <c r="A769" s="138" t="s">
        <v>425</v>
      </c>
      <c r="B769" s="42" t="s">
        <v>902</v>
      </c>
      <c r="C769" s="42" t="s">
        <v>59</v>
      </c>
      <c r="D769" s="68">
        <f>'В-25'!G1058</f>
        <v>0</v>
      </c>
      <c r="E769" s="77"/>
    </row>
    <row r="770" spans="1:5" ht="75" hidden="1" x14ac:dyDescent="0.3">
      <c r="A770" s="138" t="s">
        <v>897</v>
      </c>
      <c r="B770" s="42" t="s">
        <v>903</v>
      </c>
      <c r="C770" s="12" t="s">
        <v>50</v>
      </c>
      <c r="D770" s="68">
        <f>D771</f>
        <v>0</v>
      </c>
      <c r="E770" s="77"/>
    </row>
    <row r="771" spans="1:5" ht="37.5" hidden="1" x14ac:dyDescent="0.3">
      <c r="A771" s="138" t="s">
        <v>425</v>
      </c>
      <c r="B771" s="42" t="s">
        <v>903</v>
      </c>
      <c r="C771" s="42" t="s">
        <v>59</v>
      </c>
      <c r="D771" s="68">
        <f>'В-25'!G1060</f>
        <v>0</v>
      </c>
      <c r="E771" s="77"/>
    </row>
    <row r="772" spans="1:5" ht="112.5" hidden="1" x14ac:dyDescent="0.3">
      <c r="A772" s="138" t="s">
        <v>711</v>
      </c>
      <c r="B772" s="13" t="s">
        <v>908</v>
      </c>
      <c r="C772" s="13" t="s">
        <v>50</v>
      </c>
      <c r="D772" s="68">
        <f>D773</f>
        <v>0</v>
      </c>
      <c r="E772" s="77"/>
    </row>
    <row r="773" spans="1:5" ht="37.5" hidden="1" x14ac:dyDescent="0.3">
      <c r="A773" s="138" t="s">
        <v>264</v>
      </c>
      <c r="B773" s="13" t="s">
        <v>908</v>
      </c>
      <c r="C773" s="13" t="s">
        <v>261</v>
      </c>
      <c r="D773" s="68">
        <f>'В-25'!G1392</f>
        <v>0</v>
      </c>
      <c r="E773" s="77"/>
    </row>
    <row r="774" spans="1:5" ht="75" hidden="1" x14ac:dyDescent="0.3">
      <c r="A774" s="138" t="s">
        <v>900</v>
      </c>
      <c r="B774" s="42" t="s">
        <v>910</v>
      </c>
      <c r="C774" s="42" t="s">
        <v>50</v>
      </c>
      <c r="D774" s="68">
        <f>D775</f>
        <v>139.6</v>
      </c>
      <c r="E774" s="77"/>
    </row>
    <row r="775" spans="1:5" ht="37.5" hidden="1" x14ac:dyDescent="0.3">
      <c r="A775" s="138" t="s">
        <v>425</v>
      </c>
      <c r="B775" s="42" t="s">
        <v>910</v>
      </c>
      <c r="C775" s="42" t="s">
        <v>59</v>
      </c>
      <c r="D775" s="68">
        <f>'В-25'!G827</f>
        <v>139.6</v>
      </c>
      <c r="E775" s="77"/>
    </row>
    <row r="776" spans="1:5" ht="75" hidden="1" x14ac:dyDescent="0.3">
      <c r="A776" s="138" t="s">
        <v>924</v>
      </c>
      <c r="B776" s="42" t="s">
        <v>933</v>
      </c>
      <c r="C776" s="12" t="s">
        <v>50</v>
      </c>
      <c r="D776" s="68">
        <f>D777</f>
        <v>0</v>
      </c>
      <c r="E776" s="77"/>
    </row>
    <row r="777" spans="1:5" ht="37.5" hidden="1" x14ac:dyDescent="0.3">
      <c r="A777" s="138" t="s">
        <v>425</v>
      </c>
      <c r="B777" s="42" t="s">
        <v>933</v>
      </c>
      <c r="C777" s="42" t="s">
        <v>59</v>
      </c>
      <c r="D777" s="68">
        <f>'В-25'!G1062</f>
        <v>0</v>
      </c>
      <c r="E777" s="77"/>
    </row>
    <row r="778" spans="1:5" ht="93.75" hidden="1" x14ac:dyDescent="0.3">
      <c r="A778" s="138" t="s">
        <v>925</v>
      </c>
      <c r="B778" s="42" t="s">
        <v>934</v>
      </c>
      <c r="C778" s="42" t="s">
        <v>50</v>
      </c>
      <c r="D778" s="68">
        <f>D779</f>
        <v>225.4</v>
      </c>
      <c r="E778" s="77"/>
    </row>
    <row r="779" spans="1:5" ht="37.5" hidden="1" x14ac:dyDescent="0.3">
      <c r="A779" s="138" t="s">
        <v>425</v>
      </c>
      <c r="B779" s="42" t="s">
        <v>934</v>
      </c>
      <c r="C779" s="42" t="s">
        <v>59</v>
      </c>
      <c r="D779" s="68">
        <f>'В-25'!G829</f>
        <v>225.4</v>
      </c>
      <c r="E779" s="77"/>
    </row>
    <row r="780" spans="1:5" ht="75" x14ac:dyDescent="0.3">
      <c r="A780" s="138" t="s">
        <v>900</v>
      </c>
      <c r="B780" s="42" t="s">
        <v>1138</v>
      </c>
      <c r="C780" s="42" t="s">
        <v>50</v>
      </c>
      <c r="D780" s="68">
        <f>D781</f>
        <v>1029.75</v>
      </c>
      <c r="E780" s="77"/>
    </row>
    <row r="781" spans="1:5" ht="37.5" x14ac:dyDescent="0.3">
      <c r="A781" s="138" t="s">
        <v>425</v>
      </c>
      <c r="B781" s="42" t="s">
        <v>1138</v>
      </c>
      <c r="C781" s="42" t="s">
        <v>59</v>
      </c>
      <c r="D781" s="68">
        <f>'В-25'!G831</f>
        <v>1029.75</v>
      </c>
      <c r="E781" s="77"/>
    </row>
    <row r="782" spans="1:5" ht="19.5" x14ac:dyDescent="0.35">
      <c r="A782" s="166" t="s">
        <v>409</v>
      </c>
      <c r="B782" s="59" t="s">
        <v>421</v>
      </c>
      <c r="C782" s="60" t="s">
        <v>50</v>
      </c>
      <c r="D782" s="190">
        <f>D783+D803</f>
        <v>3200.2</v>
      </c>
      <c r="E782" s="77"/>
    </row>
    <row r="783" spans="1:5" ht="18.75" x14ac:dyDescent="0.3">
      <c r="A783" s="138" t="s">
        <v>62</v>
      </c>
      <c r="B783" s="12" t="s">
        <v>422</v>
      </c>
      <c r="C783" s="12" t="s">
        <v>50</v>
      </c>
      <c r="D783" s="68">
        <f>D784</f>
        <v>700.2</v>
      </c>
      <c r="E783" s="77"/>
    </row>
    <row r="784" spans="1:5" ht="18.75" x14ac:dyDescent="0.3">
      <c r="A784" s="171" t="s">
        <v>391</v>
      </c>
      <c r="B784" s="12" t="s">
        <v>589</v>
      </c>
      <c r="C784" s="12" t="s">
        <v>50</v>
      </c>
      <c r="D784" s="68">
        <f>D785+D798</f>
        <v>700.2</v>
      </c>
      <c r="E784" s="77"/>
    </row>
    <row r="785" spans="1:5" ht="37.5" x14ac:dyDescent="0.3">
      <c r="A785" s="138" t="s">
        <v>425</v>
      </c>
      <c r="B785" s="12" t="s">
        <v>589</v>
      </c>
      <c r="C785" s="12" t="s">
        <v>59</v>
      </c>
      <c r="D785" s="68">
        <f>'В-25'!G715</f>
        <v>700.2</v>
      </c>
      <c r="E785" s="77"/>
    </row>
    <row r="786" spans="1:5" ht="56.25" hidden="1" x14ac:dyDescent="0.3">
      <c r="A786" s="138" t="s">
        <v>493</v>
      </c>
      <c r="B786" s="12" t="s">
        <v>631</v>
      </c>
      <c r="C786" s="12" t="s">
        <v>50</v>
      </c>
      <c r="D786" s="68">
        <f>D787</f>
        <v>0</v>
      </c>
      <c r="E786" s="77"/>
    </row>
    <row r="787" spans="1:5" ht="18.75" hidden="1" x14ac:dyDescent="0.3">
      <c r="A787" s="138" t="s">
        <v>60</v>
      </c>
      <c r="B787" s="12" t="s">
        <v>631</v>
      </c>
      <c r="C787" s="12" t="s">
        <v>61</v>
      </c>
      <c r="D787" s="68">
        <f>'В-25'!G572</f>
        <v>0</v>
      </c>
      <c r="E787" s="77"/>
    </row>
    <row r="788" spans="1:5" ht="37.5" hidden="1" x14ac:dyDescent="0.3">
      <c r="A788" s="158" t="s">
        <v>586</v>
      </c>
      <c r="B788" s="42" t="s">
        <v>587</v>
      </c>
      <c r="C788" s="42" t="s">
        <v>50</v>
      </c>
      <c r="D788" s="68">
        <f>D789</f>
        <v>0</v>
      </c>
      <c r="E788" s="77"/>
    </row>
    <row r="789" spans="1:5" ht="18.75" hidden="1" x14ac:dyDescent="0.3">
      <c r="A789" s="158" t="s">
        <v>60</v>
      </c>
      <c r="B789" s="42" t="s">
        <v>587</v>
      </c>
      <c r="C789" s="42" t="s">
        <v>61</v>
      </c>
      <c r="D789" s="68">
        <v>0</v>
      </c>
      <c r="E789" s="77"/>
    </row>
    <row r="790" spans="1:5" ht="37.5" hidden="1" x14ac:dyDescent="0.3">
      <c r="A790" s="176" t="s">
        <v>351</v>
      </c>
      <c r="B790" s="42" t="s">
        <v>650</v>
      </c>
      <c r="C790" s="12" t="s">
        <v>50</v>
      </c>
      <c r="D790" s="68">
        <v>0</v>
      </c>
      <c r="E790" s="77"/>
    </row>
    <row r="791" spans="1:5" ht="18.75" hidden="1" x14ac:dyDescent="0.3">
      <c r="A791" s="138" t="s">
        <v>651</v>
      </c>
      <c r="B791" s="42" t="s">
        <v>588</v>
      </c>
      <c r="C791" s="12" t="s">
        <v>50</v>
      </c>
      <c r="D791" s="68">
        <v>0</v>
      </c>
      <c r="E791" s="77"/>
    </row>
    <row r="792" spans="1:5" ht="37.5" hidden="1" x14ac:dyDescent="0.3">
      <c r="A792" s="180" t="s">
        <v>568</v>
      </c>
      <c r="B792" s="42" t="s">
        <v>588</v>
      </c>
      <c r="C792" s="12" t="s">
        <v>50</v>
      </c>
      <c r="D792" s="68">
        <f>D793</f>
        <v>0</v>
      </c>
      <c r="E792" s="77"/>
    </row>
    <row r="793" spans="1:5" ht="37.5" hidden="1" x14ac:dyDescent="0.3">
      <c r="A793" s="138" t="s">
        <v>425</v>
      </c>
      <c r="B793" s="42" t="s">
        <v>588</v>
      </c>
      <c r="C793" s="12" t="s">
        <v>59</v>
      </c>
      <c r="D793" s="68">
        <f>'В-25'!G1128</f>
        <v>0</v>
      </c>
      <c r="E793" s="77"/>
    </row>
    <row r="794" spans="1:5" ht="45" hidden="1" customHeight="1" x14ac:dyDescent="0.3">
      <c r="A794" s="158" t="s">
        <v>780</v>
      </c>
      <c r="B794" s="12" t="s">
        <v>778</v>
      </c>
      <c r="C794" s="12" t="s">
        <v>50</v>
      </c>
      <c r="D794" s="68">
        <f>D795</f>
        <v>14842.199999999997</v>
      </c>
      <c r="E794" s="77"/>
    </row>
    <row r="795" spans="1:5" ht="37.5" hidden="1" x14ac:dyDescent="0.3">
      <c r="A795" s="138" t="s">
        <v>425</v>
      </c>
      <c r="B795" s="12" t="s">
        <v>778</v>
      </c>
      <c r="C795" s="12" t="s">
        <v>59</v>
      </c>
      <c r="D795" s="68">
        <f>'В-25'!G949</f>
        <v>14842.199999999997</v>
      </c>
      <c r="E795" s="77"/>
    </row>
    <row r="796" spans="1:5" ht="45.75" hidden="1" customHeight="1" x14ac:dyDescent="0.3">
      <c r="A796" s="158" t="s">
        <v>780</v>
      </c>
      <c r="B796" s="12" t="s">
        <v>779</v>
      </c>
      <c r="C796" s="12" t="s">
        <v>50</v>
      </c>
      <c r="D796" s="68">
        <f>D797</f>
        <v>876.65999999999985</v>
      </c>
      <c r="E796" s="77"/>
    </row>
    <row r="797" spans="1:5" ht="37.5" hidden="1" x14ac:dyDescent="0.3">
      <c r="A797" s="138" t="s">
        <v>425</v>
      </c>
      <c r="B797" s="12" t="s">
        <v>779</v>
      </c>
      <c r="C797" s="12" t="s">
        <v>59</v>
      </c>
      <c r="D797" s="68">
        <f>'В-25'!G951</f>
        <v>876.65999999999985</v>
      </c>
      <c r="E797" s="77"/>
    </row>
    <row r="798" spans="1:5" ht="18.75" hidden="1" x14ac:dyDescent="0.3">
      <c r="A798" s="158" t="s">
        <v>60</v>
      </c>
      <c r="B798" s="12" t="s">
        <v>589</v>
      </c>
      <c r="C798" s="12" t="s">
        <v>61</v>
      </c>
      <c r="D798" s="68">
        <f>'В-25'!G721</f>
        <v>0</v>
      </c>
      <c r="E798" s="77"/>
    </row>
    <row r="799" spans="1:5" ht="18.75" hidden="1" x14ac:dyDescent="0.3">
      <c r="A799" s="138" t="s">
        <v>790</v>
      </c>
      <c r="B799" s="12" t="s">
        <v>943</v>
      </c>
      <c r="C799" s="12" t="s">
        <v>50</v>
      </c>
      <c r="D799" s="68">
        <f>D800</f>
        <v>0</v>
      </c>
      <c r="E799" s="77"/>
    </row>
    <row r="800" spans="1:5" ht="18.75" hidden="1" x14ac:dyDescent="0.3">
      <c r="A800" s="158" t="s">
        <v>60</v>
      </c>
      <c r="B800" s="12" t="s">
        <v>943</v>
      </c>
      <c r="C800" s="12" t="s">
        <v>61</v>
      </c>
      <c r="D800" s="68">
        <f>'В-25'!G955</f>
        <v>0</v>
      </c>
      <c r="E800" s="77"/>
    </row>
    <row r="801" spans="1:5" ht="18.75" hidden="1" x14ac:dyDescent="0.3">
      <c r="A801" s="138" t="s">
        <v>790</v>
      </c>
      <c r="B801" s="12" t="s">
        <v>796</v>
      </c>
      <c r="C801" s="12" t="s">
        <v>50</v>
      </c>
      <c r="D801" s="68">
        <f>D802</f>
        <v>0</v>
      </c>
      <c r="E801" s="77"/>
    </row>
    <row r="802" spans="1:5" ht="18.75" hidden="1" x14ac:dyDescent="0.3">
      <c r="A802" s="158" t="s">
        <v>60</v>
      </c>
      <c r="B802" s="12" t="s">
        <v>796</v>
      </c>
      <c r="C802" s="12" t="s">
        <v>61</v>
      </c>
      <c r="D802" s="68">
        <f>'В-25'!G957</f>
        <v>0</v>
      </c>
      <c r="E802" s="77"/>
    </row>
    <row r="803" spans="1:5" ht="56.25" x14ac:dyDescent="0.3">
      <c r="A803" s="224" t="s">
        <v>982</v>
      </c>
      <c r="B803" s="12" t="s">
        <v>1139</v>
      </c>
      <c r="C803" s="12" t="s">
        <v>50</v>
      </c>
      <c r="D803" s="68">
        <f>D804</f>
        <v>2500</v>
      </c>
      <c r="E803" s="77"/>
    </row>
    <row r="804" spans="1:5" ht="37.5" x14ac:dyDescent="0.3">
      <c r="A804" s="138" t="s">
        <v>425</v>
      </c>
      <c r="B804" s="12" t="s">
        <v>1139</v>
      </c>
      <c r="C804" s="12" t="s">
        <v>59</v>
      </c>
      <c r="D804" s="68">
        <f>'В-25'!G1007</f>
        <v>2500</v>
      </c>
      <c r="E804" s="77"/>
    </row>
    <row r="805" spans="1:5" ht="37.5" x14ac:dyDescent="0.3">
      <c r="A805" s="164" t="s">
        <v>12</v>
      </c>
      <c r="B805" s="19" t="s">
        <v>102</v>
      </c>
      <c r="C805" s="7" t="s">
        <v>50</v>
      </c>
      <c r="D805" s="189">
        <f>D809+D820+D806</f>
        <v>15429.778560000001</v>
      </c>
      <c r="E805" s="77"/>
    </row>
    <row r="806" spans="1:5" ht="18.75" hidden="1" x14ac:dyDescent="0.3">
      <c r="A806" s="158" t="s">
        <v>62</v>
      </c>
      <c r="B806" s="12" t="s">
        <v>466</v>
      </c>
      <c r="C806" s="12" t="s">
        <v>50</v>
      </c>
      <c r="D806" s="68">
        <f>D807</f>
        <v>0</v>
      </c>
      <c r="E806" s="77"/>
    </row>
    <row r="807" spans="1:5" ht="18.75" hidden="1" x14ac:dyDescent="0.3">
      <c r="A807" s="158" t="s">
        <v>64</v>
      </c>
      <c r="B807" s="12" t="s">
        <v>454</v>
      </c>
      <c r="C807" s="12" t="s">
        <v>50</v>
      </c>
      <c r="D807" s="68">
        <f>D808</f>
        <v>0</v>
      </c>
      <c r="E807" s="77"/>
    </row>
    <row r="808" spans="1:5" ht="37.5" hidden="1" x14ac:dyDescent="0.3">
      <c r="A808" s="138" t="s">
        <v>425</v>
      </c>
      <c r="B808" s="12" t="s">
        <v>454</v>
      </c>
      <c r="C808" s="12" t="s">
        <v>59</v>
      </c>
      <c r="D808" s="68">
        <f>'[2]В-21'!G519</f>
        <v>0</v>
      </c>
      <c r="E808" s="77"/>
    </row>
    <row r="809" spans="1:5" ht="37.5" hidden="1" x14ac:dyDescent="0.3">
      <c r="A809" s="176" t="s">
        <v>351</v>
      </c>
      <c r="B809" s="42" t="s">
        <v>353</v>
      </c>
      <c r="C809" s="18" t="s">
        <v>50</v>
      </c>
      <c r="D809" s="68">
        <f>D810</f>
        <v>13131.314</v>
      </c>
      <c r="E809" s="77"/>
    </row>
    <row r="810" spans="1:5" ht="42.75" customHeight="1" x14ac:dyDescent="0.3">
      <c r="A810" s="176" t="s">
        <v>1166</v>
      </c>
      <c r="B810" s="42" t="s">
        <v>1167</v>
      </c>
      <c r="C810" s="18" t="s">
        <v>50</v>
      </c>
      <c r="D810" s="68">
        <f>D811+D814+D816+D818</f>
        <v>13131.314</v>
      </c>
      <c r="E810" s="77"/>
    </row>
    <row r="811" spans="1:5" ht="24" customHeight="1" x14ac:dyDescent="0.3">
      <c r="A811" s="158" t="s">
        <v>352</v>
      </c>
      <c r="B811" s="42" t="s">
        <v>1167</v>
      </c>
      <c r="C811" s="42" t="s">
        <v>50</v>
      </c>
      <c r="D811" s="68">
        <f>D812+D813</f>
        <v>13131.314</v>
      </c>
      <c r="E811" s="77"/>
    </row>
    <row r="812" spans="1:5" ht="37.5" x14ac:dyDescent="0.3">
      <c r="A812" s="138" t="s">
        <v>425</v>
      </c>
      <c r="B812" s="42" t="s">
        <v>1168</v>
      </c>
      <c r="C812" s="42" t="s">
        <v>59</v>
      </c>
      <c r="D812" s="68">
        <f>'В-25'!G1108+'В-25'!G857</f>
        <v>13131.314</v>
      </c>
      <c r="E812" s="77"/>
    </row>
    <row r="813" spans="1:5" ht="37.5" hidden="1" x14ac:dyDescent="0.3">
      <c r="A813" s="138" t="s">
        <v>264</v>
      </c>
      <c r="B813" s="42" t="s">
        <v>355</v>
      </c>
      <c r="C813" s="42" t="s">
        <v>261</v>
      </c>
      <c r="D813" s="68">
        <f>'В-25'!G1110</f>
        <v>0</v>
      </c>
      <c r="E813" s="77"/>
    </row>
    <row r="814" spans="1:5" ht="18.75" hidden="1" x14ac:dyDescent="0.3">
      <c r="A814" s="158" t="s">
        <v>352</v>
      </c>
      <c r="B814" s="42" t="s">
        <v>743</v>
      </c>
      <c r="C814" s="42" t="s">
        <v>50</v>
      </c>
      <c r="D814" s="68">
        <f>D815</f>
        <v>0</v>
      </c>
      <c r="E814" s="77"/>
    </row>
    <row r="815" spans="1:5" ht="37.5" hidden="1" x14ac:dyDescent="0.3">
      <c r="A815" s="138" t="s">
        <v>425</v>
      </c>
      <c r="B815" s="42" t="s">
        <v>743</v>
      </c>
      <c r="C815" s="42" t="s">
        <v>59</v>
      </c>
      <c r="D815" s="68">
        <f>'В-25'!G1112</f>
        <v>0</v>
      </c>
      <c r="E815" s="77"/>
    </row>
    <row r="816" spans="1:5" ht="75" hidden="1" x14ac:dyDescent="0.3">
      <c r="A816" s="138" t="s">
        <v>810</v>
      </c>
      <c r="B816" s="42" t="s">
        <v>809</v>
      </c>
      <c r="C816" s="42" t="s">
        <v>50</v>
      </c>
      <c r="D816" s="68">
        <f>D817</f>
        <v>0</v>
      </c>
      <c r="E816" s="77"/>
    </row>
    <row r="817" spans="1:5" ht="37.5" hidden="1" x14ac:dyDescent="0.3">
      <c r="A817" s="138" t="s">
        <v>425</v>
      </c>
      <c r="B817" s="42" t="s">
        <v>809</v>
      </c>
      <c r="C817" s="42" t="s">
        <v>59</v>
      </c>
      <c r="D817" s="68">
        <f>'В-25'!G1114</f>
        <v>0</v>
      </c>
      <c r="E817" s="77"/>
    </row>
    <row r="818" spans="1:5" ht="75" hidden="1" x14ac:dyDescent="0.3">
      <c r="A818" s="138" t="s">
        <v>810</v>
      </c>
      <c r="B818" s="42" t="s">
        <v>893</v>
      </c>
      <c r="C818" s="42" t="s">
        <v>50</v>
      </c>
      <c r="D818" s="68">
        <f>D819</f>
        <v>0</v>
      </c>
      <c r="E818" s="77"/>
    </row>
    <row r="819" spans="1:5" ht="37.5" hidden="1" x14ac:dyDescent="0.3">
      <c r="A819" s="138" t="s">
        <v>425</v>
      </c>
      <c r="B819" s="42" t="s">
        <v>893</v>
      </c>
      <c r="C819" s="42" t="s">
        <v>59</v>
      </c>
      <c r="D819" s="68">
        <f>'В-25'!G1116</f>
        <v>0</v>
      </c>
      <c r="E819" s="77"/>
    </row>
    <row r="820" spans="1:5" ht="19.5" x14ac:dyDescent="0.35">
      <c r="A820" s="166" t="s">
        <v>409</v>
      </c>
      <c r="B820" s="19" t="s">
        <v>106</v>
      </c>
      <c r="C820" s="39" t="s">
        <v>50</v>
      </c>
      <c r="D820" s="189">
        <f>D821</f>
        <v>2298.4645600000003</v>
      </c>
      <c r="E820" s="77"/>
    </row>
    <row r="821" spans="1:5" ht="18.75" x14ac:dyDescent="0.3">
      <c r="A821" s="158" t="s">
        <v>62</v>
      </c>
      <c r="B821" s="42" t="s">
        <v>356</v>
      </c>
      <c r="C821" s="42" t="s">
        <v>50</v>
      </c>
      <c r="D821" s="68">
        <f>D822+D825</f>
        <v>2298.4645600000003</v>
      </c>
      <c r="E821" s="77"/>
    </row>
    <row r="822" spans="1:5" ht="24.75" customHeight="1" x14ac:dyDescent="0.3">
      <c r="A822" s="158" t="s">
        <v>352</v>
      </c>
      <c r="B822" s="42" t="s">
        <v>357</v>
      </c>
      <c r="C822" s="42" t="s">
        <v>50</v>
      </c>
      <c r="D822" s="68">
        <f>D823+D824</f>
        <v>1701.7</v>
      </c>
      <c r="E822" s="77"/>
    </row>
    <row r="823" spans="1:5" ht="37.5" x14ac:dyDescent="0.3">
      <c r="A823" s="138" t="s">
        <v>425</v>
      </c>
      <c r="B823" s="42" t="s">
        <v>357</v>
      </c>
      <c r="C823" s="42" t="s">
        <v>59</v>
      </c>
      <c r="D823" s="68">
        <f>'В-25'!G1120+'В-25'!G876</f>
        <v>1701.7</v>
      </c>
      <c r="E823" s="77"/>
    </row>
    <row r="824" spans="1:5" ht="47.25" hidden="1" customHeight="1" x14ac:dyDescent="0.3">
      <c r="A824" s="138" t="s">
        <v>290</v>
      </c>
      <c r="B824" s="42" t="s">
        <v>357</v>
      </c>
      <c r="C824" s="42" t="s">
        <v>291</v>
      </c>
      <c r="D824" s="68">
        <f>'В-25'!G1121</f>
        <v>0</v>
      </c>
      <c r="E824" s="77"/>
    </row>
    <row r="825" spans="1:5" ht="29.25" customHeight="1" x14ac:dyDescent="0.3">
      <c r="A825" s="138" t="s">
        <v>64</v>
      </c>
      <c r="B825" s="42" t="s">
        <v>729</v>
      </c>
      <c r="C825" s="42" t="s">
        <v>50</v>
      </c>
      <c r="D825" s="68">
        <f>D826</f>
        <v>596.76456000000007</v>
      </c>
      <c r="E825" s="77"/>
    </row>
    <row r="826" spans="1:5" ht="47.25" customHeight="1" x14ac:dyDescent="0.3">
      <c r="A826" s="138" t="s">
        <v>425</v>
      </c>
      <c r="B826" s="42" t="s">
        <v>729</v>
      </c>
      <c r="C826" s="42" t="s">
        <v>59</v>
      </c>
      <c r="D826" s="68">
        <f>'В-25'!G1130</f>
        <v>596.76456000000007</v>
      </c>
      <c r="E826" s="77"/>
    </row>
    <row r="827" spans="1:5" ht="56.25" x14ac:dyDescent="0.3">
      <c r="A827" s="164" t="s">
        <v>13</v>
      </c>
      <c r="B827" s="19" t="s">
        <v>135</v>
      </c>
      <c r="C827" s="7" t="s">
        <v>50</v>
      </c>
      <c r="D827" s="189">
        <f>D828+D837</f>
        <v>34</v>
      </c>
      <c r="E827" s="77"/>
    </row>
    <row r="828" spans="1:5" ht="60" customHeight="1" x14ac:dyDescent="0.35">
      <c r="A828" s="156" t="s">
        <v>14</v>
      </c>
      <c r="B828" s="59" t="s">
        <v>30</v>
      </c>
      <c r="C828" s="60" t="s">
        <v>50</v>
      </c>
      <c r="D828" s="190">
        <f>D829</f>
        <v>34</v>
      </c>
      <c r="E828" s="77"/>
    </row>
    <row r="829" spans="1:5" ht="26.25" customHeight="1" x14ac:dyDescent="0.3">
      <c r="A829" s="138" t="s">
        <v>62</v>
      </c>
      <c r="B829" s="12" t="s">
        <v>219</v>
      </c>
      <c r="C829" s="12" t="s">
        <v>50</v>
      </c>
      <c r="D829" s="68">
        <f>D830</f>
        <v>34</v>
      </c>
      <c r="E829" s="77"/>
    </row>
    <row r="830" spans="1:5" ht="21.75" customHeight="1" x14ac:dyDescent="0.3">
      <c r="A830" s="138" t="s">
        <v>218</v>
      </c>
      <c r="B830" s="12" t="s">
        <v>220</v>
      </c>
      <c r="C830" s="12" t="s">
        <v>50</v>
      </c>
      <c r="D830" s="68">
        <f>D831</f>
        <v>34</v>
      </c>
      <c r="E830" s="77"/>
    </row>
    <row r="831" spans="1:5" ht="38.25" customHeight="1" x14ac:dyDescent="0.3">
      <c r="A831" s="138" t="s">
        <v>425</v>
      </c>
      <c r="B831" s="12" t="s">
        <v>220</v>
      </c>
      <c r="C831" s="12" t="s">
        <v>59</v>
      </c>
      <c r="D831" s="68">
        <f>'В-25'!G577</f>
        <v>34</v>
      </c>
      <c r="E831" s="77"/>
    </row>
    <row r="832" spans="1:5" ht="39" hidden="1" outlineLevel="2" x14ac:dyDescent="0.35">
      <c r="A832" s="156" t="s">
        <v>15</v>
      </c>
      <c r="B832" s="59" t="s">
        <v>31</v>
      </c>
      <c r="C832" s="60" t="s">
        <v>50</v>
      </c>
      <c r="D832" s="190">
        <f>D833</f>
        <v>0</v>
      </c>
      <c r="E832" s="77"/>
    </row>
    <row r="833" spans="1:5" ht="18.75" hidden="1" outlineLevel="2" x14ac:dyDescent="0.3">
      <c r="A833" s="138" t="s">
        <v>62</v>
      </c>
      <c r="B833" s="12" t="s">
        <v>262</v>
      </c>
      <c r="C833" s="12" t="s">
        <v>50</v>
      </c>
      <c r="D833" s="68">
        <f>D834</f>
        <v>0</v>
      </c>
      <c r="E833" s="77"/>
    </row>
    <row r="834" spans="1:5" ht="18.75" hidden="1" outlineLevel="2" x14ac:dyDescent="0.3">
      <c r="A834" s="138" t="s">
        <v>260</v>
      </c>
      <c r="B834" s="12" t="s">
        <v>263</v>
      </c>
      <c r="C834" s="12" t="s">
        <v>50</v>
      </c>
      <c r="D834" s="68">
        <f>D835+D836</f>
        <v>0</v>
      </c>
      <c r="E834" s="77"/>
    </row>
    <row r="835" spans="1:5" ht="18.75" hidden="1" outlineLevel="2" x14ac:dyDescent="0.3">
      <c r="A835" s="138" t="s">
        <v>58</v>
      </c>
      <c r="B835" s="12" t="s">
        <v>263</v>
      </c>
      <c r="C835" s="12" t="s">
        <v>59</v>
      </c>
      <c r="D835" s="68">
        <f>'[2]В-21'!G529</f>
        <v>0</v>
      </c>
      <c r="E835" s="77"/>
    </row>
    <row r="836" spans="1:5" ht="37.5" hidden="1" outlineLevel="2" x14ac:dyDescent="0.3">
      <c r="A836" s="138" t="s">
        <v>264</v>
      </c>
      <c r="B836" s="12" t="s">
        <v>263</v>
      </c>
      <c r="C836" s="12" t="s">
        <v>261</v>
      </c>
      <c r="D836" s="68">
        <f>'[2]В-21'!G530</f>
        <v>0</v>
      </c>
      <c r="E836" s="77"/>
    </row>
    <row r="837" spans="1:5" ht="19.5" hidden="1" outlineLevel="1" collapsed="1" x14ac:dyDescent="0.35">
      <c r="A837" s="166" t="s">
        <v>409</v>
      </c>
      <c r="B837" s="59" t="s">
        <v>136</v>
      </c>
      <c r="C837" s="62" t="s">
        <v>50</v>
      </c>
      <c r="D837" s="190">
        <f>D838</f>
        <v>0</v>
      </c>
      <c r="E837" s="77"/>
    </row>
    <row r="838" spans="1:5" ht="18.75" hidden="1" outlineLevel="1" x14ac:dyDescent="0.3">
      <c r="A838" s="161" t="s">
        <v>62</v>
      </c>
      <c r="B838" s="18" t="s">
        <v>266</v>
      </c>
      <c r="C838" s="18" t="s">
        <v>50</v>
      </c>
      <c r="D838" s="68">
        <f>D839</f>
        <v>0</v>
      </c>
      <c r="E838" s="77"/>
    </row>
    <row r="839" spans="1:5" ht="18.75" hidden="1" outlineLevel="1" x14ac:dyDescent="0.3">
      <c r="A839" s="161" t="s">
        <v>265</v>
      </c>
      <c r="B839" s="18" t="s">
        <v>267</v>
      </c>
      <c r="C839" s="18" t="s">
        <v>50</v>
      </c>
      <c r="D839" s="68">
        <f>D840</f>
        <v>0</v>
      </c>
      <c r="E839" s="77"/>
    </row>
    <row r="840" spans="1:5" ht="37.5" hidden="1" outlineLevel="1" x14ac:dyDescent="0.3">
      <c r="A840" s="138" t="s">
        <v>424</v>
      </c>
      <c r="B840" s="18" t="s">
        <v>267</v>
      </c>
      <c r="C840" s="18" t="s">
        <v>59</v>
      </c>
      <c r="D840" s="68">
        <f>'[2]В-21'!G534</f>
        <v>0</v>
      </c>
      <c r="E840" s="77"/>
    </row>
    <row r="841" spans="1:5" ht="37.5" collapsed="1" x14ac:dyDescent="0.3">
      <c r="A841" s="181" t="s">
        <v>16</v>
      </c>
      <c r="B841" s="19" t="s">
        <v>32</v>
      </c>
      <c r="C841" s="25" t="s">
        <v>50</v>
      </c>
      <c r="D841" s="189">
        <f>D842+D850+D877</f>
        <v>104423.63421999999</v>
      </c>
      <c r="E841" s="77"/>
    </row>
    <row r="842" spans="1:5" ht="39" x14ac:dyDescent="0.35">
      <c r="A842" s="162" t="s">
        <v>17</v>
      </c>
      <c r="B842" s="59" t="s">
        <v>33</v>
      </c>
      <c r="C842" s="62" t="s">
        <v>50</v>
      </c>
      <c r="D842" s="190">
        <f>D843+D845+D848</f>
        <v>91.09</v>
      </c>
      <c r="E842" s="77"/>
    </row>
    <row r="843" spans="1:5" ht="40.5" hidden="1" customHeight="1" x14ac:dyDescent="0.3">
      <c r="A843" s="157" t="s">
        <v>609</v>
      </c>
      <c r="B843" s="13" t="s">
        <v>652</v>
      </c>
      <c r="C843" s="13" t="s">
        <v>50</v>
      </c>
      <c r="D843" s="68">
        <f>D844</f>
        <v>0</v>
      </c>
      <c r="E843" s="77"/>
    </row>
    <row r="844" spans="1:5" ht="45.75" hidden="1" customHeight="1" x14ac:dyDescent="0.3">
      <c r="A844" s="138" t="s">
        <v>425</v>
      </c>
      <c r="B844" s="13" t="s">
        <v>652</v>
      </c>
      <c r="C844" s="13" t="s">
        <v>59</v>
      </c>
      <c r="D844" s="68">
        <f>'В-25'!G410</f>
        <v>0</v>
      </c>
      <c r="E844" s="77"/>
    </row>
    <row r="845" spans="1:5" ht="56.25" x14ac:dyDescent="0.3">
      <c r="A845" s="138" t="s">
        <v>249</v>
      </c>
      <c r="B845" s="13" t="s">
        <v>862</v>
      </c>
      <c r="C845" s="42" t="s">
        <v>50</v>
      </c>
      <c r="D845" s="68">
        <f>D846</f>
        <v>90.09</v>
      </c>
      <c r="E845" s="77"/>
    </row>
    <row r="846" spans="1:5" ht="75" x14ac:dyDescent="0.3">
      <c r="A846" s="138" t="s">
        <v>437</v>
      </c>
      <c r="B846" s="13" t="s">
        <v>863</v>
      </c>
      <c r="C846" s="42" t="s">
        <v>50</v>
      </c>
      <c r="D846" s="68">
        <f>D847</f>
        <v>90.09</v>
      </c>
      <c r="E846" s="77"/>
    </row>
    <row r="847" spans="1:5" ht="37.5" x14ac:dyDescent="0.3">
      <c r="A847" s="138" t="s">
        <v>425</v>
      </c>
      <c r="B847" s="13" t="s">
        <v>863</v>
      </c>
      <c r="C847" s="13" t="s">
        <v>59</v>
      </c>
      <c r="D847" s="68">
        <f>'В-25'!G1226</f>
        <v>90.09</v>
      </c>
      <c r="E847" s="77"/>
    </row>
    <row r="848" spans="1:5" ht="75" x14ac:dyDescent="0.3">
      <c r="A848" s="138" t="s">
        <v>440</v>
      </c>
      <c r="B848" s="13" t="s">
        <v>864</v>
      </c>
      <c r="C848" s="13" t="s">
        <v>50</v>
      </c>
      <c r="D848" s="68">
        <f>D849</f>
        <v>1</v>
      </c>
      <c r="E848" s="77"/>
    </row>
    <row r="849" spans="1:5" ht="37.5" x14ac:dyDescent="0.3">
      <c r="A849" s="138" t="s">
        <v>425</v>
      </c>
      <c r="B849" s="13" t="s">
        <v>864</v>
      </c>
      <c r="C849" s="13" t="s">
        <v>59</v>
      </c>
      <c r="D849" s="68">
        <f>'В-25'!G1228</f>
        <v>1</v>
      </c>
      <c r="E849" s="77"/>
    </row>
    <row r="850" spans="1:5" ht="39" x14ac:dyDescent="0.35">
      <c r="A850" s="162" t="s">
        <v>18</v>
      </c>
      <c r="B850" s="59" t="s">
        <v>34</v>
      </c>
      <c r="C850" s="59" t="s">
        <v>50</v>
      </c>
      <c r="D850" s="190">
        <f>D851+D866+D872+D875</f>
        <v>59503.573999999986</v>
      </c>
      <c r="E850" s="77"/>
    </row>
    <row r="851" spans="1:5" ht="56.25" x14ac:dyDescent="0.3">
      <c r="A851" s="138" t="s">
        <v>103</v>
      </c>
      <c r="B851" s="13" t="s">
        <v>36</v>
      </c>
      <c r="C851" s="13" t="s">
        <v>50</v>
      </c>
      <c r="D851" s="68">
        <f>D852+D856+D862+D860+D854+D864</f>
        <v>59248.916999999987</v>
      </c>
      <c r="E851" s="77"/>
    </row>
    <row r="852" spans="1:5" ht="18.75" x14ac:dyDescent="0.3">
      <c r="A852" s="138" t="s">
        <v>204</v>
      </c>
      <c r="B852" s="13" t="s">
        <v>361</v>
      </c>
      <c r="C852" s="12" t="s">
        <v>50</v>
      </c>
      <c r="D852" s="68">
        <f>D853</f>
        <v>1892.6999999999998</v>
      </c>
      <c r="E852" s="77"/>
    </row>
    <row r="853" spans="1:5" ht="79.5" customHeight="1" x14ac:dyDescent="0.3">
      <c r="A853" s="138" t="s">
        <v>56</v>
      </c>
      <c r="B853" s="74" t="s">
        <v>439</v>
      </c>
      <c r="C853" s="13" t="s">
        <v>57</v>
      </c>
      <c r="D853" s="68">
        <f>'В-25'!G499</f>
        <v>1892.6999999999998</v>
      </c>
      <c r="E853" s="77"/>
    </row>
    <row r="854" spans="1:5" ht="37.5" x14ac:dyDescent="0.3">
      <c r="A854" s="157" t="s">
        <v>374</v>
      </c>
      <c r="B854" s="5" t="s">
        <v>515</v>
      </c>
      <c r="C854" s="13" t="s">
        <v>50</v>
      </c>
      <c r="D854" s="68">
        <f>D855</f>
        <v>760</v>
      </c>
      <c r="E854" s="77"/>
    </row>
    <row r="855" spans="1:5" ht="75" x14ac:dyDescent="0.3">
      <c r="A855" s="138" t="s">
        <v>56</v>
      </c>
      <c r="B855" s="5" t="s">
        <v>515</v>
      </c>
      <c r="C855" s="13" t="s">
        <v>57</v>
      </c>
      <c r="D855" s="68">
        <f>'В-25'!G501</f>
        <v>760</v>
      </c>
      <c r="E855" s="77"/>
    </row>
    <row r="856" spans="1:5" ht="18.75" x14ac:dyDescent="0.3">
      <c r="A856" s="138" t="s">
        <v>104</v>
      </c>
      <c r="B856" s="12" t="s">
        <v>37</v>
      </c>
      <c r="C856" s="12" t="s">
        <v>50</v>
      </c>
      <c r="D856" s="68">
        <f>D857+D858+D859</f>
        <v>44366.516999999993</v>
      </c>
      <c r="E856" s="77"/>
    </row>
    <row r="857" spans="1:5" ht="75" x14ac:dyDescent="0.3">
      <c r="A857" s="138" t="s">
        <v>56</v>
      </c>
      <c r="B857" s="13" t="s">
        <v>37</v>
      </c>
      <c r="C857" s="13" t="s">
        <v>57</v>
      </c>
      <c r="D857" s="68">
        <f>'В-25'!G32+'В-25'!G390+'В-25'!G425+'В-25'!G523+'В-25'!G1475</f>
        <v>38798.899999999994</v>
      </c>
      <c r="E857" s="85"/>
    </row>
    <row r="858" spans="1:5" ht="37.5" x14ac:dyDescent="0.3">
      <c r="A858" s="138" t="s">
        <v>425</v>
      </c>
      <c r="B858" s="13" t="s">
        <v>37</v>
      </c>
      <c r="C858" s="13" t="s">
        <v>59</v>
      </c>
      <c r="D858" s="68">
        <f>'В-25'!G33+'В-25'!G391+'В-25'!G524+'В-25'!G1273+'В-25'!G1239</f>
        <v>5505.4000000000005</v>
      </c>
      <c r="E858" s="77"/>
    </row>
    <row r="859" spans="1:5" ht="18.75" x14ac:dyDescent="0.3">
      <c r="A859" s="138" t="s">
        <v>60</v>
      </c>
      <c r="B859" s="13" t="s">
        <v>37</v>
      </c>
      <c r="C859" s="13" t="s">
        <v>61</v>
      </c>
      <c r="D859" s="68">
        <f>'В-25'!G526</f>
        <v>62.216999999999999</v>
      </c>
      <c r="E859" s="77"/>
    </row>
    <row r="860" spans="1:5" ht="37.5" x14ac:dyDescent="0.3">
      <c r="A860" s="157" t="s">
        <v>374</v>
      </c>
      <c r="B860" s="13" t="s">
        <v>510</v>
      </c>
      <c r="C860" s="13" t="s">
        <v>50</v>
      </c>
      <c r="D860" s="68">
        <f>D861</f>
        <v>6274.2000000000007</v>
      </c>
      <c r="E860" s="77"/>
    </row>
    <row r="861" spans="1:5" ht="75" x14ac:dyDescent="0.3">
      <c r="A861" s="138" t="s">
        <v>56</v>
      </c>
      <c r="B861" s="13" t="s">
        <v>510</v>
      </c>
      <c r="C861" s="13" t="s">
        <v>57</v>
      </c>
      <c r="D861" s="68">
        <f>'В-25'!G35+'В-25'!G393+'В-25'!G528</f>
        <v>6274.2000000000007</v>
      </c>
      <c r="E861" s="77"/>
    </row>
    <row r="862" spans="1:5" ht="37.5" x14ac:dyDescent="0.3">
      <c r="A862" s="138" t="s">
        <v>180</v>
      </c>
      <c r="B862" s="12" t="s">
        <v>181</v>
      </c>
      <c r="C862" s="12" t="s">
        <v>50</v>
      </c>
      <c r="D862" s="68">
        <f>D863</f>
        <v>5795.5</v>
      </c>
      <c r="E862" s="77"/>
    </row>
    <row r="863" spans="1:5" ht="75" x14ac:dyDescent="0.3">
      <c r="A863" s="138" t="s">
        <v>56</v>
      </c>
      <c r="B863" s="12" t="s">
        <v>181</v>
      </c>
      <c r="C863" s="12" t="s">
        <v>57</v>
      </c>
      <c r="D863" s="68">
        <f>'В-25'!G395+'В-25'!G530+'В-25'!G1477</f>
        <v>5795.5</v>
      </c>
      <c r="E863" s="77"/>
    </row>
    <row r="864" spans="1:5" ht="37.5" x14ac:dyDescent="0.3">
      <c r="A864" s="157" t="s">
        <v>374</v>
      </c>
      <c r="B864" s="13" t="s">
        <v>664</v>
      </c>
      <c r="C864" s="13" t="s">
        <v>50</v>
      </c>
      <c r="D864" s="68">
        <f>D865</f>
        <v>160</v>
      </c>
      <c r="E864" s="77"/>
    </row>
    <row r="865" spans="1:5" ht="75" x14ac:dyDescent="0.3">
      <c r="A865" s="138" t="s">
        <v>56</v>
      </c>
      <c r="B865" s="13" t="s">
        <v>664</v>
      </c>
      <c r="C865" s="13" t="s">
        <v>57</v>
      </c>
      <c r="D865" s="68">
        <f>'В-25'!G397+'В-25'!G532</f>
        <v>160</v>
      </c>
      <c r="E865" s="77"/>
    </row>
    <row r="866" spans="1:5" ht="18.75" x14ac:dyDescent="0.3">
      <c r="A866" s="158" t="s">
        <v>62</v>
      </c>
      <c r="B866" s="13" t="s">
        <v>350</v>
      </c>
      <c r="C866" s="13" t="s">
        <v>50</v>
      </c>
      <c r="D866" s="68">
        <f>D867+D870</f>
        <v>254.65700000000001</v>
      </c>
      <c r="E866" s="77"/>
    </row>
    <row r="867" spans="1:5" ht="18.75" x14ac:dyDescent="0.3">
      <c r="A867" s="138" t="s">
        <v>227</v>
      </c>
      <c r="B867" s="12" t="s">
        <v>228</v>
      </c>
      <c r="C867" s="12" t="s">
        <v>50</v>
      </c>
      <c r="D867" s="68">
        <f>D868+D869</f>
        <v>254.65700000000001</v>
      </c>
      <c r="E867" s="77"/>
    </row>
    <row r="868" spans="1:5" ht="18.75" x14ac:dyDescent="0.3">
      <c r="A868" s="138" t="s">
        <v>60</v>
      </c>
      <c r="B868" s="12" t="s">
        <v>228</v>
      </c>
      <c r="C868" s="12" t="s">
        <v>61</v>
      </c>
      <c r="D868" s="68">
        <f>'В-25'!G585</f>
        <v>254.65700000000001</v>
      </c>
      <c r="E868" s="77"/>
    </row>
    <row r="869" spans="1:5" ht="18.75" hidden="1" outlineLevel="1" x14ac:dyDescent="0.3">
      <c r="A869" s="138" t="s">
        <v>60</v>
      </c>
      <c r="B869" s="12" t="s">
        <v>228</v>
      </c>
      <c r="C869" s="12" t="s">
        <v>61</v>
      </c>
      <c r="D869" s="68">
        <f>'[2]В-21'!G399</f>
        <v>0</v>
      </c>
      <c r="E869" s="77"/>
    </row>
    <row r="870" spans="1:5" ht="37.5" hidden="1" collapsed="1" x14ac:dyDescent="0.3">
      <c r="A870" s="158" t="s">
        <v>433</v>
      </c>
      <c r="B870" s="13" t="s">
        <v>434</v>
      </c>
      <c r="C870" s="12" t="s">
        <v>50</v>
      </c>
      <c r="D870" s="68">
        <f>D871</f>
        <v>0</v>
      </c>
      <c r="E870" s="77"/>
    </row>
    <row r="871" spans="1:5" ht="37.5" hidden="1" x14ac:dyDescent="0.3">
      <c r="A871" s="138" t="s">
        <v>425</v>
      </c>
      <c r="B871" s="13" t="s">
        <v>434</v>
      </c>
      <c r="C871" s="12" t="s">
        <v>59</v>
      </c>
      <c r="D871" s="68">
        <f>'В-25'!G413</f>
        <v>0</v>
      </c>
      <c r="E871" s="77"/>
    </row>
    <row r="872" spans="1:5" ht="56.25" hidden="1" x14ac:dyDescent="0.3">
      <c r="A872" s="138" t="s">
        <v>249</v>
      </c>
      <c r="B872" s="13" t="s">
        <v>862</v>
      </c>
      <c r="C872" s="42" t="s">
        <v>50</v>
      </c>
      <c r="D872" s="68">
        <f>D873</f>
        <v>0</v>
      </c>
      <c r="E872" s="77"/>
    </row>
    <row r="873" spans="1:5" ht="75" hidden="1" x14ac:dyDescent="0.3">
      <c r="A873" s="138" t="s">
        <v>437</v>
      </c>
      <c r="B873" s="13" t="s">
        <v>863</v>
      </c>
      <c r="C873" s="42" t="s">
        <v>50</v>
      </c>
      <c r="D873" s="68">
        <f>D874</f>
        <v>0</v>
      </c>
      <c r="E873" s="77"/>
    </row>
    <row r="874" spans="1:5" ht="37.5" hidden="1" x14ac:dyDescent="0.3">
      <c r="A874" s="138" t="s">
        <v>425</v>
      </c>
      <c r="B874" s="13" t="s">
        <v>863</v>
      </c>
      <c r="C874" s="13" t="s">
        <v>59</v>
      </c>
      <c r="D874" s="68">
        <f>'В-25'!G416+'В-25'!G1235</f>
        <v>0</v>
      </c>
      <c r="E874" s="77"/>
    </row>
    <row r="875" spans="1:5" ht="75" hidden="1" x14ac:dyDescent="0.3">
      <c r="A875" s="138" t="s">
        <v>438</v>
      </c>
      <c r="B875" s="13" t="s">
        <v>864</v>
      </c>
      <c r="C875" s="13" t="s">
        <v>50</v>
      </c>
      <c r="D875" s="68">
        <f>D876</f>
        <v>0</v>
      </c>
      <c r="E875" s="77"/>
    </row>
    <row r="876" spans="1:5" ht="37.5" hidden="1" x14ac:dyDescent="0.3">
      <c r="A876" s="138" t="s">
        <v>425</v>
      </c>
      <c r="B876" s="13" t="s">
        <v>864</v>
      </c>
      <c r="C876" s="13" t="s">
        <v>59</v>
      </c>
      <c r="D876" s="68">
        <f>'В-25'!G418+'В-25'!G1237</f>
        <v>0</v>
      </c>
      <c r="E876" s="77"/>
    </row>
    <row r="877" spans="1:5" ht="19.5" x14ac:dyDescent="0.35">
      <c r="A877" s="166" t="s">
        <v>409</v>
      </c>
      <c r="B877" s="73" t="s">
        <v>19</v>
      </c>
      <c r="C877" s="59" t="s">
        <v>50</v>
      </c>
      <c r="D877" s="190">
        <f>D878+D896+D898+D901+D903+D906+D887+D908+D910+D892+D912+D914</f>
        <v>44828.97022000001</v>
      </c>
      <c r="E877" s="77"/>
    </row>
    <row r="878" spans="1:5" ht="37.5" customHeight="1" x14ac:dyDescent="0.3">
      <c r="A878" s="138" t="s">
        <v>52</v>
      </c>
      <c r="B878" s="12" t="s">
        <v>230</v>
      </c>
      <c r="C878" s="12" t="s">
        <v>50</v>
      </c>
      <c r="D878" s="68">
        <f>D879+D884</f>
        <v>30311.420220000007</v>
      </c>
      <c r="E878" s="77"/>
    </row>
    <row r="879" spans="1:5" ht="24.75" customHeight="1" x14ac:dyDescent="0.3">
      <c r="A879" s="138" t="s">
        <v>229</v>
      </c>
      <c r="B879" s="12" t="s">
        <v>231</v>
      </c>
      <c r="C879" s="12" t="s">
        <v>50</v>
      </c>
      <c r="D879" s="68">
        <f>D880+D881+D883+D882</f>
        <v>28105.520220000006</v>
      </c>
      <c r="E879" s="77"/>
    </row>
    <row r="880" spans="1:5" ht="75" x14ac:dyDescent="0.3">
      <c r="A880" s="138" t="s">
        <v>56</v>
      </c>
      <c r="B880" s="12" t="s">
        <v>231</v>
      </c>
      <c r="C880" s="12" t="s">
        <v>57</v>
      </c>
      <c r="D880" s="68">
        <f>'В-25'!G589</f>
        <v>8908.7000000000007</v>
      </c>
      <c r="E880" s="77"/>
    </row>
    <row r="881" spans="1:5" ht="37.5" x14ac:dyDescent="0.3">
      <c r="A881" s="138" t="s">
        <v>425</v>
      </c>
      <c r="B881" s="12" t="s">
        <v>231</v>
      </c>
      <c r="C881" s="12" t="s">
        <v>59</v>
      </c>
      <c r="D881" s="68">
        <f>'В-25'!G590</f>
        <v>19194.777940000004</v>
      </c>
      <c r="E881" s="77"/>
    </row>
    <row r="882" spans="1:5" ht="18.75" x14ac:dyDescent="0.3">
      <c r="A882" s="138" t="s">
        <v>175</v>
      </c>
      <c r="B882" s="12" t="s">
        <v>231</v>
      </c>
      <c r="C882" s="12" t="s">
        <v>176</v>
      </c>
      <c r="D882" s="68">
        <f>'В-25'!G591</f>
        <v>2.0422799999999999</v>
      </c>
      <c r="E882" s="77"/>
    </row>
    <row r="883" spans="1:5" ht="18.75" x14ac:dyDescent="0.3">
      <c r="A883" s="138" t="s">
        <v>60</v>
      </c>
      <c r="B883" s="12" t="s">
        <v>231</v>
      </c>
      <c r="C883" s="12" t="s">
        <v>61</v>
      </c>
      <c r="D883" s="68">
        <f>'В-25'!G592</f>
        <v>0</v>
      </c>
      <c r="E883" s="77"/>
    </row>
    <row r="884" spans="1:5" ht="27" customHeight="1" x14ac:dyDescent="0.3">
      <c r="A884" s="157" t="s">
        <v>374</v>
      </c>
      <c r="B884" s="12" t="s">
        <v>373</v>
      </c>
      <c r="C884" s="12" t="s">
        <v>50</v>
      </c>
      <c r="D884" s="68">
        <f>D886+D885</f>
        <v>2205.9</v>
      </c>
      <c r="E884" s="77"/>
    </row>
    <row r="885" spans="1:5" ht="77.25" customHeight="1" x14ac:dyDescent="0.3">
      <c r="A885" s="138" t="s">
        <v>56</v>
      </c>
      <c r="B885" s="12" t="s">
        <v>373</v>
      </c>
      <c r="C885" s="12" t="s">
        <v>57</v>
      </c>
      <c r="D885" s="68">
        <f>'В-25'!G594</f>
        <v>2205.9</v>
      </c>
      <c r="E885" s="77"/>
    </row>
    <row r="886" spans="1:5" ht="18.75" x14ac:dyDescent="0.3">
      <c r="A886" s="138" t="s">
        <v>60</v>
      </c>
      <c r="B886" s="12" t="s">
        <v>373</v>
      </c>
      <c r="C886" s="12" t="s">
        <v>61</v>
      </c>
      <c r="D886" s="68">
        <f>'[2]В-21'!G408</f>
        <v>0</v>
      </c>
      <c r="E886" s="77"/>
    </row>
    <row r="887" spans="1:5" ht="18.75" hidden="1" x14ac:dyDescent="0.3">
      <c r="A887" s="158" t="s">
        <v>62</v>
      </c>
      <c r="B887" s="12" t="s">
        <v>390</v>
      </c>
      <c r="C887" s="12" t="s">
        <v>50</v>
      </c>
      <c r="D887" s="68">
        <f>D890</f>
        <v>0</v>
      </c>
      <c r="E887" s="77"/>
    </row>
    <row r="888" spans="1:5" ht="18.75" hidden="1" x14ac:dyDescent="0.3">
      <c r="A888" s="171" t="s">
        <v>391</v>
      </c>
      <c r="B888" s="12" t="s">
        <v>392</v>
      </c>
      <c r="C888" s="12" t="s">
        <v>50</v>
      </c>
      <c r="D888" s="68">
        <f>D889</f>
        <v>0</v>
      </c>
      <c r="E888" s="77"/>
    </row>
    <row r="889" spans="1:5" ht="37.5" hidden="1" x14ac:dyDescent="0.3">
      <c r="A889" s="138" t="s">
        <v>425</v>
      </c>
      <c r="B889" s="12" t="s">
        <v>392</v>
      </c>
      <c r="C889" s="12" t="s">
        <v>59</v>
      </c>
      <c r="D889" s="68"/>
      <c r="E889" s="77"/>
    </row>
    <row r="890" spans="1:5" ht="37.5" hidden="1" x14ac:dyDescent="0.3">
      <c r="A890" s="157" t="s">
        <v>609</v>
      </c>
      <c r="B890" s="13" t="s">
        <v>434</v>
      </c>
      <c r="C890" s="13" t="s">
        <v>50</v>
      </c>
      <c r="D890" s="68">
        <f>D891</f>
        <v>0</v>
      </c>
      <c r="E890" s="77"/>
    </row>
    <row r="891" spans="1:5" ht="37.5" hidden="1" x14ac:dyDescent="0.3">
      <c r="A891" s="138" t="s">
        <v>425</v>
      </c>
      <c r="B891" s="13" t="s">
        <v>434</v>
      </c>
      <c r="C891" s="13" t="s">
        <v>59</v>
      </c>
      <c r="D891" s="68">
        <v>0</v>
      </c>
      <c r="E891" s="77"/>
    </row>
    <row r="892" spans="1:5" ht="18.75" hidden="1" x14ac:dyDescent="0.3">
      <c r="A892" s="138" t="s">
        <v>523</v>
      </c>
      <c r="B892" s="18" t="s">
        <v>524</v>
      </c>
      <c r="C892" s="18" t="s">
        <v>50</v>
      </c>
      <c r="D892" s="68">
        <f>D893</f>
        <v>0</v>
      </c>
      <c r="E892" s="77"/>
    </row>
    <row r="893" spans="1:5" ht="37.5" hidden="1" x14ac:dyDescent="0.3">
      <c r="A893" s="138" t="s">
        <v>525</v>
      </c>
      <c r="B893" s="18" t="s">
        <v>526</v>
      </c>
      <c r="C893" s="18" t="s">
        <v>50</v>
      </c>
      <c r="D893" s="68">
        <f>D894+D895</f>
        <v>0</v>
      </c>
      <c r="E893" s="77"/>
    </row>
    <row r="894" spans="1:5" ht="37.5" hidden="1" x14ac:dyDescent="0.3">
      <c r="A894" s="138" t="s">
        <v>425</v>
      </c>
      <c r="B894" s="18" t="s">
        <v>526</v>
      </c>
      <c r="C894" s="18" t="s">
        <v>59</v>
      </c>
      <c r="D894" s="68">
        <f>'В-25'!G545</f>
        <v>0</v>
      </c>
      <c r="E894" s="77"/>
    </row>
    <row r="895" spans="1:5" ht="18.75" hidden="1" x14ac:dyDescent="0.3">
      <c r="A895" s="138" t="s">
        <v>60</v>
      </c>
      <c r="B895" s="18" t="s">
        <v>526</v>
      </c>
      <c r="C895" s="18" t="s">
        <v>61</v>
      </c>
      <c r="D895" s="68">
        <f>'В-25'!G546</f>
        <v>0</v>
      </c>
      <c r="E895" s="77"/>
    </row>
    <row r="896" spans="1:5" ht="18.75" x14ac:dyDescent="0.3">
      <c r="A896" s="138" t="s">
        <v>188</v>
      </c>
      <c r="B896" s="12" t="s">
        <v>192</v>
      </c>
      <c r="C896" s="12" t="s">
        <v>50</v>
      </c>
      <c r="D896" s="68">
        <f>D897</f>
        <v>11467.9</v>
      </c>
      <c r="E896" s="77"/>
    </row>
    <row r="897" spans="1:5" ht="18.75" x14ac:dyDescent="0.3">
      <c r="A897" s="138" t="s">
        <v>190</v>
      </c>
      <c r="B897" s="12" t="s">
        <v>192</v>
      </c>
      <c r="C897" s="12" t="s">
        <v>191</v>
      </c>
      <c r="D897" s="68">
        <f>'В-25'!G431+'В-25'!G1556</f>
        <v>11467.9</v>
      </c>
      <c r="E897" s="77"/>
    </row>
    <row r="898" spans="1:5" ht="18.75" x14ac:dyDescent="0.3">
      <c r="A898" s="138" t="s">
        <v>184</v>
      </c>
      <c r="B898" s="13" t="s">
        <v>185</v>
      </c>
      <c r="C898" s="13" t="s">
        <v>50</v>
      </c>
      <c r="D898" s="68">
        <f>D900+D899</f>
        <v>100</v>
      </c>
      <c r="E898" s="77"/>
    </row>
    <row r="899" spans="1:5" ht="18.75" hidden="1" x14ac:dyDescent="0.3">
      <c r="A899" s="138" t="s">
        <v>175</v>
      </c>
      <c r="B899" s="13" t="s">
        <v>185</v>
      </c>
      <c r="C899" s="13" t="s">
        <v>176</v>
      </c>
      <c r="D899" s="68">
        <f>'[2]В-21'!G785</f>
        <v>0</v>
      </c>
      <c r="E899" s="77"/>
    </row>
    <row r="900" spans="1:5" ht="18.75" x14ac:dyDescent="0.3">
      <c r="A900" s="138" t="s">
        <v>60</v>
      </c>
      <c r="B900" s="13" t="s">
        <v>185</v>
      </c>
      <c r="C900" s="13" t="s">
        <v>61</v>
      </c>
      <c r="D900" s="68">
        <f>'В-25'!G404+'В-25'!G961</f>
        <v>100</v>
      </c>
      <c r="E900" s="77"/>
    </row>
    <row r="901" spans="1:5" ht="18.75" x14ac:dyDescent="0.3">
      <c r="A901" s="138" t="s">
        <v>316</v>
      </c>
      <c r="B901" s="12" t="s">
        <v>317</v>
      </c>
      <c r="C901" s="12" t="s">
        <v>50</v>
      </c>
      <c r="D901" s="68">
        <f>D902</f>
        <v>2001</v>
      </c>
      <c r="E901" s="77"/>
    </row>
    <row r="902" spans="1:5" ht="18.75" x14ac:dyDescent="0.3">
      <c r="A902" s="138" t="s">
        <v>175</v>
      </c>
      <c r="B902" s="12" t="s">
        <v>317</v>
      </c>
      <c r="C902" s="12" t="s">
        <v>176</v>
      </c>
      <c r="D902" s="68">
        <f>'В-25'!G1406</f>
        <v>2001</v>
      </c>
      <c r="E902" s="77"/>
    </row>
    <row r="903" spans="1:5" ht="56.25" x14ac:dyDescent="0.3">
      <c r="A903" s="138" t="s">
        <v>173</v>
      </c>
      <c r="B903" s="12" t="s">
        <v>847</v>
      </c>
      <c r="C903" s="12" t="s">
        <v>50</v>
      </c>
      <c r="D903" s="68">
        <f>D904</f>
        <v>20.8</v>
      </c>
      <c r="E903" s="77"/>
    </row>
    <row r="904" spans="1:5" ht="37.5" x14ac:dyDescent="0.3">
      <c r="A904" s="138" t="s">
        <v>232</v>
      </c>
      <c r="B904" s="12" t="s">
        <v>848</v>
      </c>
      <c r="C904" s="12" t="s">
        <v>50</v>
      </c>
      <c r="D904" s="68">
        <f>D905</f>
        <v>20.8</v>
      </c>
      <c r="E904" s="77"/>
    </row>
    <row r="905" spans="1:5" ht="39.75" customHeight="1" x14ac:dyDescent="0.3">
      <c r="A905" s="138" t="s">
        <v>425</v>
      </c>
      <c r="B905" s="12" t="s">
        <v>848</v>
      </c>
      <c r="C905" s="12" t="s">
        <v>59</v>
      </c>
      <c r="D905" s="68">
        <f>'В-25'!G601</f>
        <v>20.8</v>
      </c>
      <c r="E905" s="77"/>
    </row>
    <row r="906" spans="1:5" ht="75" x14ac:dyDescent="0.3">
      <c r="A906" s="182" t="s">
        <v>210</v>
      </c>
      <c r="B906" s="18" t="s">
        <v>856</v>
      </c>
      <c r="C906" s="18" t="s">
        <v>50</v>
      </c>
      <c r="D906" s="68">
        <f>D907</f>
        <v>7.35</v>
      </c>
      <c r="E906" s="77"/>
    </row>
    <row r="907" spans="1:5" ht="37.5" x14ac:dyDescent="0.3">
      <c r="A907" s="138" t="s">
        <v>425</v>
      </c>
      <c r="B907" s="18" t="s">
        <v>856</v>
      </c>
      <c r="C907" s="18" t="s">
        <v>59</v>
      </c>
      <c r="D907" s="68">
        <f>'В-25'!G539</f>
        <v>7.35</v>
      </c>
      <c r="E907" s="77"/>
    </row>
    <row r="908" spans="1:5" ht="18.75" hidden="1" x14ac:dyDescent="0.3">
      <c r="A908" s="138" t="s">
        <v>452</v>
      </c>
      <c r="B908" s="12" t="s">
        <v>453</v>
      </c>
      <c r="C908" s="12" t="s">
        <v>50</v>
      </c>
      <c r="D908" s="68">
        <f>D909</f>
        <v>0</v>
      </c>
      <c r="E908" s="77"/>
    </row>
    <row r="909" spans="1:5" ht="37.5" hidden="1" x14ac:dyDescent="0.3">
      <c r="A909" s="138" t="s">
        <v>425</v>
      </c>
      <c r="B909" s="12" t="s">
        <v>453</v>
      </c>
      <c r="C909" s="12" t="s">
        <v>59</v>
      </c>
      <c r="D909" s="68">
        <f>'В-25'!G603</f>
        <v>0</v>
      </c>
      <c r="E909" s="77"/>
    </row>
    <row r="910" spans="1:5" ht="75" hidden="1" x14ac:dyDescent="0.3">
      <c r="A910" s="138" t="s">
        <v>488</v>
      </c>
      <c r="B910" s="12" t="s">
        <v>489</v>
      </c>
      <c r="C910" s="12" t="s">
        <v>50</v>
      </c>
      <c r="D910" s="68">
        <f>D911</f>
        <v>0</v>
      </c>
      <c r="E910" s="77"/>
    </row>
    <row r="911" spans="1:5" ht="37.5" hidden="1" x14ac:dyDescent="0.3">
      <c r="A911" s="138" t="s">
        <v>425</v>
      </c>
      <c r="B911" s="12" t="s">
        <v>489</v>
      </c>
      <c r="C911" s="12" t="s">
        <v>59</v>
      </c>
      <c r="D911" s="68">
        <v>0</v>
      </c>
      <c r="E911" s="77"/>
    </row>
    <row r="912" spans="1:5" ht="56.25" hidden="1" x14ac:dyDescent="0.3">
      <c r="A912" s="224" t="s">
        <v>918</v>
      </c>
      <c r="B912" s="12" t="s">
        <v>935</v>
      </c>
      <c r="C912" s="12" t="s">
        <v>50</v>
      </c>
      <c r="D912" s="68">
        <f>D913</f>
        <v>0</v>
      </c>
      <c r="E912" s="77"/>
    </row>
    <row r="913" spans="1:5" ht="37.5" hidden="1" x14ac:dyDescent="0.3">
      <c r="A913" s="138" t="s">
        <v>425</v>
      </c>
      <c r="B913" s="12" t="s">
        <v>935</v>
      </c>
      <c r="C913" s="12" t="s">
        <v>59</v>
      </c>
      <c r="D913" s="68">
        <f>'В-25'!G605</f>
        <v>0</v>
      </c>
      <c r="E913" s="77"/>
    </row>
    <row r="914" spans="1:5" ht="47.25" customHeight="1" x14ac:dyDescent="0.3">
      <c r="A914" s="138" t="s">
        <v>946</v>
      </c>
      <c r="B914" s="12" t="s">
        <v>947</v>
      </c>
      <c r="C914" s="18" t="s">
        <v>50</v>
      </c>
      <c r="D914" s="68">
        <f>D915</f>
        <v>920.5</v>
      </c>
      <c r="E914" s="77"/>
    </row>
    <row r="915" spans="1:5" ht="75" x14ac:dyDescent="0.3">
      <c r="A915" s="138" t="s">
        <v>56</v>
      </c>
      <c r="B915" s="12" t="s">
        <v>947</v>
      </c>
      <c r="C915" s="12" t="s">
        <v>57</v>
      </c>
      <c r="D915" s="68">
        <f>'В-25'!G37+'В-25'!G399+'В-25'!G503+'В-25'!G534</f>
        <v>920.5</v>
      </c>
      <c r="E915" s="77"/>
    </row>
    <row r="916" spans="1:5" ht="56.25" x14ac:dyDescent="0.3">
      <c r="A916" s="164" t="s">
        <v>20</v>
      </c>
      <c r="B916" s="19" t="s">
        <v>21</v>
      </c>
      <c r="C916" s="7" t="s">
        <v>50</v>
      </c>
      <c r="D916" s="189">
        <f>D917+D925+D935</f>
        <v>424077.33305999998</v>
      </c>
      <c r="E916" s="82"/>
    </row>
    <row r="917" spans="1:5" ht="58.5" x14ac:dyDescent="0.35">
      <c r="A917" s="174" t="s">
        <v>22</v>
      </c>
      <c r="B917" s="59" t="s">
        <v>23</v>
      </c>
      <c r="C917" s="60" t="s">
        <v>50</v>
      </c>
      <c r="D917" s="190">
        <f>D918+D922</f>
        <v>5604.8330599999999</v>
      </c>
      <c r="E917" s="77"/>
    </row>
    <row r="918" spans="1:5" ht="18.75" x14ac:dyDescent="0.3">
      <c r="A918" s="138" t="s">
        <v>62</v>
      </c>
      <c r="B918" s="12" t="s">
        <v>222</v>
      </c>
      <c r="C918" s="12" t="s">
        <v>50</v>
      </c>
      <c r="D918" s="68">
        <f>D919</f>
        <v>3481.8999999999996</v>
      </c>
      <c r="E918" s="77"/>
    </row>
    <row r="919" spans="1:5" ht="18.75" x14ac:dyDescent="0.3">
      <c r="A919" s="138" t="s">
        <v>221</v>
      </c>
      <c r="B919" s="12" t="s">
        <v>223</v>
      </c>
      <c r="C919" s="12" t="s">
        <v>50</v>
      </c>
      <c r="D919" s="68">
        <f>D920+D921</f>
        <v>3481.8999999999996</v>
      </c>
      <c r="E919" s="77"/>
    </row>
    <row r="920" spans="1:5" ht="37.5" x14ac:dyDescent="0.3">
      <c r="A920" s="138" t="s">
        <v>425</v>
      </c>
      <c r="B920" s="12" t="s">
        <v>223</v>
      </c>
      <c r="C920" s="12" t="s">
        <v>59</v>
      </c>
      <c r="D920" s="68">
        <f>'В-25'!G610</f>
        <v>3381.8999999999996</v>
      </c>
      <c r="E920" s="77"/>
    </row>
    <row r="921" spans="1:5" ht="18.75" x14ac:dyDescent="0.3">
      <c r="A921" s="138" t="s">
        <v>60</v>
      </c>
      <c r="B921" s="12" t="s">
        <v>223</v>
      </c>
      <c r="C921" s="12" t="s">
        <v>61</v>
      </c>
      <c r="D921" s="68">
        <f>'В-25'!G611</f>
        <v>100</v>
      </c>
      <c r="E921" s="77"/>
    </row>
    <row r="922" spans="1:5" ht="64.5" customHeight="1" x14ac:dyDescent="0.3">
      <c r="A922" s="283" t="s">
        <v>448</v>
      </c>
      <c r="B922" s="13" t="s">
        <v>449</v>
      </c>
      <c r="C922" s="12" t="s">
        <v>50</v>
      </c>
      <c r="D922" s="68">
        <f>D923+D924</f>
        <v>2122.9330600000003</v>
      </c>
      <c r="E922" s="77"/>
    </row>
    <row r="923" spans="1:5" ht="37.5" x14ac:dyDescent="0.3">
      <c r="A923" s="138" t="s">
        <v>425</v>
      </c>
      <c r="B923" s="13" t="s">
        <v>449</v>
      </c>
      <c r="C923" s="12" t="s">
        <v>59</v>
      </c>
      <c r="D923" s="68">
        <f>'В-25'!G613</f>
        <v>1554.1000000000001</v>
      </c>
      <c r="E923" s="77"/>
    </row>
    <row r="924" spans="1:5" ht="33" customHeight="1" x14ac:dyDescent="0.3">
      <c r="A924" s="138" t="s">
        <v>60</v>
      </c>
      <c r="B924" s="13" t="s">
        <v>449</v>
      </c>
      <c r="C924" s="12" t="s">
        <v>61</v>
      </c>
      <c r="D924" s="68">
        <f>'В-25'!G614</f>
        <v>568.83305999999993</v>
      </c>
      <c r="E924" s="77"/>
    </row>
    <row r="925" spans="1:5" ht="30.75" customHeight="1" x14ac:dyDescent="0.35">
      <c r="A925" s="163" t="s">
        <v>24</v>
      </c>
      <c r="B925" s="59" t="s">
        <v>446</v>
      </c>
      <c r="C925" s="60" t="s">
        <v>50</v>
      </c>
      <c r="D925" s="190">
        <f>D926+D929+D933+D931</f>
        <v>1071</v>
      </c>
      <c r="E925" s="77"/>
    </row>
    <row r="926" spans="1:5" ht="18.75" x14ac:dyDescent="0.3">
      <c r="A926" s="138" t="s">
        <v>62</v>
      </c>
      <c r="B926" s="12" t="s">
        <v>445</v>
      </c>
      <c r="C926" s="12" t="s">
        <v>50</v>
      </c>
      <c r="D926" s="68">
        <f>D927</f>
        <v>1071</v>
      </c>
      <c r="E926" s="77"/>
    </row>
    <row r="927" spans="1:5" ht="18.75" x14ac:dyDescent="0.3">
      <c r="A927" s="138" t="s">
        <v>221</v>
      </c>
      <c r="B927" s="12" t="s">
        <v>447</v>
      </c>
      <c r="C927" s="12" t="s">
        <v>50</v>
      </c>
      <c r="D927" s="68">
        <f>D928</f>
        <v>1071</v>
      </c>
      <c r="E927" s="77"/>
    </row>
    <row r="928" spans="1:5" ht="37.5" x14ac:dyDescent="0.3">
      <c r="A928" s="138" t="s">
        <v>425</v>
      </c>
      <c r="B928" s="12" t="s">
        <v>447</v>
      </c>
      <c r="C928" s="12" t="s">
        <v>59</v>
      </c>
      <c r="D928" s="68">
        <f>'В-25'!G882</f>
        <v>1071</v>
      </c>
      <c r="E928" s="77"/>
    </row>
    <row r="929" spans="1:5" ht="56.25" hidden="1" x14ac:dyDescent="0.3">
      <c r="A929" s="280" t="s">
        <v>493</v>
      </c>
      <c r="B929" s="13" t="s">
        <v>649</v>
      </c>
      <c r="C929" s="12" t="s">
        <v>50</v>
      </c>
      <c r="D929" s="68">
        <f>D930</f>
        <v>0</v>
      </c>
      <c r="E929" s="77"/>
    </row>
    <row r="930" spans="1:5" ht="18.75" hidden="1" x14ac:dyDescent="0.3">
      <c r="A930" s="138" t="s">
        <v>60</v>
      </c>
      <c r="B930" s="13" t="s">
        <v>649</v>
      </c>
      <c r="C930" s="12" t="s">
        <v>61</v>
      </c>
      <c r="D930" s="68">
        <f>'В-25'!G621</f>
        <v>0</v>
      </c>
      <c r="E930" s="77"/>
    </row>
    <row r="931" spans="1:5" ht="18.75" hidden="1" x14ac:dyDescent="0.3">
      <c r="A931" s="138" t="s">
        <v>528</v>
      </c>
      <c r="B931" s="12" t="s">
        <v>871</v>
      </c>
      <c r="C931" s="12" t="s">
        <v>50</v>
      </c>
      <c r="D931" s="68">
        <f>D932</f>
        <v>0</v>
      </c>
      <c r="E931" s="77"/>
    </row>
    <row r="932" spans="1:5" ht="37.5" hidden="1" x14ac:dyDescent="0.3">
      <c r="A932" s="138" t="s">
        <v>425</v>
      </c>
      <c r="B932" s="12" t="s">
        <v>871</v>
      </c>
      <c r="C932" s="12" t="s">
        <v>59</v>
      </c>
      <c r="D932" s="68">
        <f>'В-25'!G886</f>
        <v>0</v>
      </c>
      <c r="E932" s="77"/>
    </row>
    <row r="933" spans="1:5" ht="18.75" hidden="1" x14ac:dyDescent="0.3">
      <c r="A933" s="138" t="s">
        <v>528</v>
      </c>
      <c r="B933" s="12" t="s">
        <v>872</v>
      </c>
      <c r="C933" s="12" t="s">
        <v>50</v>
      </c>
      <c r="D933" s="68">
        <f>D934</f>
        <v>0</v>
      </c>
      <c r="E933" s="77"/>
    </row>
    <row r="934" spans="1:5" ht="37.5" hidden="1" x14ac:dyDescent="0.3">
      <c r="A934" s="138" t="s">
        <v>425</v>
      </c>
      <c r="B934" s="12" t="s">
        <v>811</v>
      </c>
      <c r="C934" s="12" t="s">
        <v>59</v>
      </c>
      <c r="D934" s="68">
        <f>'В-25'!G888</f>
        <v>0</v>
      </c>
      <c r="E934" s="77"/>
    </row>
    <row r="935" spans="1:5" ht="19.5" x14ac:dyDescent="0.35">
      <c r="A935" s="166" t="s">
        <v>409</v>
      </c>
      <c r="B935" s="59" t="s">
        <v>35</v>
      </c>
      <c r="C935" s="60" t="s">
        <v>50</v>
      </c>
      <c r="D935" s="190">
        <f>D936+D943+D946+D962+D948</f>
        <v>417401.5</v>
      </c>
      <c r="E935" s="77"/>
    </row>
    <row r="936" spans="1:5" ht="18.75" x14ac:dyDescent="0.3">
      <c r="A936" s="138" t="s">
        <v>62</v>
      </c>
      <c r="B936" s="12" t="s">
        <v>225</v>
      </c>
      <c r="C936" s="12" t="s">
        <v>50</v>
      </c>
      <c r="D936" s="68">
        <f>D937+D939+D941</f>
        <v>161.5</v>
      </c>
      <c r="E936" s="77"/>
    </row>
    <row r="937" spans="1:5" ht="18.75" hidden="1" outlineLevel="1" x14ac:dyDescent="0.3">
      <c r="A937" s="138" t="s">
        <v>224</v>
      </c>
      <c r="B937" s="12" t="s">
        <v>226</v>
      </c>
      <c r="C937" s="12" t="s">
        <v>50</v>
      </c>
      <c r="D937" s="68">
        <f>D938</f>
        <v>0</v>
      </c>
      <c r="E937" s="77"/>
    </row>
    <row r="938" spans="1:5" ht="18.75" hidden="1" outlineLevel="1" x14ac:dyDescent="0.3">
      <c r="A938" s="138" t="s">
        <v>58</v>
      </c>
      <c r="B938" s="12" t="s">
        <v>226</v>
      </c>
      <c r="C938" s="12" t="s">
        <v>59</v>
      </c>
      <c r="D938" s="68">
        <f>'[2]В-21'!G429</f>
        <v>0</v>
      </c>
      <c r="E938" s="77"/>
    </row>
    <row r="939" spans="1:5" ht="20.25" hidden="1" customHeight="1" collapsed="1" x14ac:dyDescent="0.3">
      <c r="A939" s="183" t="s">
        <v>269</v>
      </c>
      <c r="B939" s="12" t="s">
        <v>271</v>
      </c>
      <c r="C939" s="12" t="s">
        <v>50</v>
      </c>
      <c r="D939" s="68">
        <f>D940</f>
        <v>0</v>
      </c>
      <c r="E939" s="77"/>
    </row>
    <row r="940" spans="1:5" ht="37.5" hidden="1" x14ac:dyDescent="0.3">
      <c r="A940" s="138" t="s">
        <v>425</v>
      </c>
      <c r="B940" s="12" t="s">
        <v>271</v>
      </c>
      <c r="C940" s="12" t="s">
        <v>59</v>
      </c>
      <c r="D940" s="68">
        <f>'В-25'!G892</f>
        <v>0</v>
      </c>
      <c r="E940" s="77"/>
    </row>
    <row r="941" spans="1:5" ht="37.5" x14ac:dyDescent="0.3">
      <c r="A941" s="157" t="s">
        <v>272</v>
      </c>
      <c r="B941" s="12" t="s">
        <v>273</v>
      </c>
      <c r="C941" s="12" t="s">
        <v>50</v>
      </c>
      <c r="D941" s="68">
        <f>D942</f>
        <v>161.5</v>
      </c>
      <c r="E941" s="77"/>
    </row>
    <row r="942" spans="1:5" ht="37.5" x14ac:dyDescent="0.3">
      <c r="A942" s="138" t="s">
        <v>425</v>
      </c>
      <c r="B942" s="12" t="s">
        <v>273</v>
      </c>
      <c r="C942" s="1">
        <v>200</v>
      </c>
      <c r="D942" s="68">
        <f>'В-25'!G894</f>
        <v>161.5</v>
      </c>
      <c r="E942" s="77"/>
    </row>
    <row r="943" spans="1:5" ht="56.25" hidden="1" x14ac:dyDescent="0.3">
      <c r="A943" s="138" t="s">
        <v>249</v>
      </c>
      <c r="B943" s="12" t="s">
        <v>470</v>
      </c>
      <c r="C943" s="13" t="s">
        <v>50</v>
      </c>
      <c r="D943" s="68">
        <f>D944</f>
        <v>0</v>
      </c>
      <c r="E943" s="77"/>
    </row>
    <row r="944" spans="1:5" ht="18.75" hidden="1" x14ac:dyDescent="0.3">
      <c r="A944" s="138" t="s">
        <v>471</v>
      </c>
      <c r="B944" s="12" t="s">
        <v>469</v>
      </c>
      <c r="C944" s="13" t="s">
        <v>50</v>
      </c>
      <c r="D944" s="68">
        <f>D945</f>
        <v>0</v>
      </c>
      <c r="E944" s="77"/>
    </row>
    <row r="945" spans="1:5" ht="37.5" hidden="1" x14ac:dyDescent="0.3">
      <c r="A945" s="138" t="s">
        <v>425</v>
      </c>
      <c r="B945" s="12" t="s">
        <v>469</v>
      </c>
      <c r="C945" s="1">
        <v>200</v>
      </c>
      <c r="D945" s="68">
        <f>'В-25'!G897</f>
        <v>0</v>
      </c>
      <c r="E945" s="77"/>
    </row>
    <row r="946" spans="1:5" ht="37.5" hidden="1" x14ac:dyDescent="0.3">
      <c r="A946" s="138" t="s">
        <v>472</v>
      </c>
      <c r="B946" s="12" t="s">
        <v>473</v>
      </c>
      <c r="C946" s="13" t="s">
        <v>50</v>
      </c>
      <c r="D946" s="68">
        <f>D947</f>
        <v>0</v>
      </c>
      <c r="E946" s="77"/>
    </row>
    <row r="947" spans="1:5" ht="37.5" hidden="1" x14ac:dyDescent="0.3">
      <c r="A947" s="138" t="s">
        <v>425</v>
      </c>
      <c r="B947" s="12" t="s">
        <v>473</v>
      </c>
      <c r="C947" s="1">
        <v>200</v>
      </c>
      <c r="D947" s="68">
        <f>'В-25'!G899</f>
        <v>0</v>
      </c>
      <c r="E947" s="77"/>
    </row>
    <row r="948" spans="1:5" ht="37.5" x14ac:dyDescent="0.3">
      <c r="A948" s="138" t="s">
        <v>1157</v>
      </c>
      <c r="B948" s="12" t="s">
        <v>1156</v>
      </c>
      <c r="C948" s="1" t="s">
        <v>50</v>
      </c>
      <c r="D948" s="68">
        <v>417240</v>
      </c>
      <c r="E948" s="77"/>
    </row>
    <row r="949" spans="1:5" ht="18.75" x14ac:dyDescent="0.3">
      <c r="A949" s="138" t="s">
        <v>58</v>
      </c>
      <c r="B949" s="12" t="s">
        <v>1156</v>
      </c>
      <c r="C949" s="1" t="s">
        <v>59</v>
      </c>
      <c r="D949" s="68">
        <v>417240</v>
      </c>
      <c r="E949" s="77"/>
    </row>
    <row r="950" spans="1:5" ht="66" customHeight="1" x14ac:dyDescent="0.35">
      <c r="A950" s="172" t="s">
        <v>656</v>
      </c>
      <c r="B950" s="60" t="s">
        <v>657</v>
      </c>
      <c r="C950" s="60" t="s">
        <v>50</v>
      </c>
      <c r="D950" s="190">
        <f>D951+D964</f>
        <v>44573.299999999996</v>
      </c>
      <c r="E950" s="77"/>
    </row>
    <row r="951" spans="1:5" ht="18.75" hidden="1" x14ac:dyDescent="0.3">
      <c r="A951" s="158" t="s">
        <v>83</v>
      </c>
      <c r="B951" s="12" t="s">
        <v>658</v>
      </c>
      <c r="C951" s="12" t="s">
        <v>50</v>
      </c>
      <c r="D951" s="68">
        <f>D956+D952+D954</f>
        <v>44528.7</v>
      </c>
      <c r="E951" s="77"/>
    </row>
    <row r="952" spans="1:5" ht="37.5" hidden="1" x14ac:dyDescent="0.3">
      <c r="A952" s="160" t="s">
        <v>783</v>
      </c>
      <c r="B952" s="12" t="s">
        <v>781</v>
      </c>
      <c r="C952" s="12" t="s">
        <v>50</v>
      </c>
      <c r="D952" s="68">
        <f>D953</f>
        <v>0</v>
      </c>
      <c r="E952" s="77"/>
    </row>
    <row r="953" spans="1:5" ht="37.5" hidden="1" x14ac:dyDescent="0.3">
      <c r="A953" s="138" t="s">
        <v>290</v>
      </c>
      <c r="B953" s="12" t="s">
        <v>781</v>
      </c>
      <c r="C953" s="12" t="s">
        <v>291</v>
      </c>
      <c r="D953" s="68">
        <f>'В-25'!G917</f>
        <v>0</v>
      </c>
      <c r="E953" s="77"/>
    </row>
    <row r="954" spans="1:5" ht="37.5" hidden="1" x14ac:dyDescent="0.3">
      <c r="A954" s="160" t="s">
        <v>783</v>
      </c>
      <c r="B954" s="12" t="s">
        <v>782</v>
      </c>
      <c r="C954" s="12" t="s">
        <v>50</v>
      </c>
      <c r="D954" s="68">
        <f>D955</f>
        <v>0</v>
      </c>
      <c r="E954" s="77"/>
    </row>
    <row r="955" spans="1:5" ht="37.5" hidden="1" x14ac:dyDescent="0.3">
      <c r="A955" s="138" t="s">
        <v>290</v>
      </c>
      <c r="B955" s="12" t="s">
        <v>782</v>
      </c>
      <c r="C955" s="12" t="s">
        <v>291</v>
      </c>
      <c r="D955" s="68">
        <f>'В-25'!G919</f>
        <v>0</v>
      </c>
      <c r="E955" s="77"/>
    </row>
    <row r="956" spans="1:5" ht="37.5" hidden="1" x14ac:dyDescent="0.3">
      <c r="A956" s="160" t="s">
        <v>351</v>
      </c>
      <c r="B956" s="12" t="s">
        <v>659</v>
      </c>
      <c r="C956" s="12" t="s">
        <v>50</v>
      </c>
      <c r="D956" s="68">
        <f>D957</f>
        <v>44528.7</v>
      </c>
      <c r="E956" s="77"/>
    </row>
    <row r="957" spans="1:5" ht="37.5" hidden="1" x14ac:dyDescent="0.3">
      <c r="A957" s="160" t="s">
        <v>660</v>
      </c>
      <c r="B957" s="12" t="s">
        <v>661</v>
      </c>
      <c r="C957" s="12" t="s">
        <v>50</v>
      </c>
      <c r="D957" s="68">
        <f>D958+D960</f>
        <v>44528.7</v>
      </c>
      <c r="E957" s="77"/>
    </row>
    <row r="958" spans="1:5" ht="56.25" x14ac:dyDescent="0.3">
      <c r="A958" s="224" t="s">
        <v>1172</v>
      </c>
      <c r="B958" s="108" t="s">
        <v>1170</v>
      </c>
      <c r="C958" s="12" t="s">
        <v>50</v>
      </c>
      <c r="D958" s="68">
        <f>D959</f>
        <v>28014.3</v>
      </c>
      <c r="E958" s="77"/>
    </row>
    <row r="959" spans="1:5" ht="37.5" x14ac:dyDescent="0.3">
      <c r="A959" s="138" t="s">
        <v>290</v>
      </c>
      <c r="B959" s="108" t="s">
        <v>1170</v>
      </c>
      <c r="C959" s="12" t="s">
        <v>291</v>
      </c>
      <c r="D959" s="68">
        <f>'В-25'!G923</f>
        <v>28014.3</v>
      </c>
      <c r="E959" s="77"/>
    </row>
    <row r="960" spans="1:5" ht="56.25" x14ac:dyDescent="0.3">
      <c r="A960" s="224" t="s">
        <v>662</v>
      </c>
      <c r="B960" s="108" t="s">
        <v>1171</v>
      </c>
      <c r="C960" s="12" t="s">
        <v>50</v>
      </c>
      <c r="D960" s="68">
        <f>D961</f>
        <v>16514.400000000001</v>
      </c>
      <c r="E960" s="77"/>
    </row>
    <row r="961" spans="1:5" ht="37.5" x14ac:dyDescent="0.3">
      <c r="A961" s="138" t="s">
        <v>290</v>
      </c>
      <c r="B961" s="108" t="s">
        <v>1171</v>
      </c>
      <c r="C961" s="12" t="s">
        <v>291</v>
      </c>
      <c r="D961" s="68">
        <f>'В-25'!G925</f>
        <v>16514.400000000001</v>
      </c>
      <c r="E961" s="77"/>
    </row>
    <row r="962" spans="1:5" ht="37.5" hidden="1" x14ac:dyDescent="0.3">
      <c r="A962" s="138" t="s">
        <v>1157</v>
      </c>
      <c r="B962" s="42" t="s">
        <v>1156</v>
      </c>
      <c r="C962" s="42" t="s">
        <v>50</v>
      </c>
      <c r="D962" s="68"/>
      <c r="E962" s="77"/>
    </row>
    <row r="963" spans="1:5" ht="18.75" hidden="1" x14ac:dyDescent="0.3">
      <c r="A963" s="138" t="s">
        <v>58</v>
      </c>
      <c r="B963" s="42" t="s">
        <v>1156</v>
      </c>
      <c r="C963" s="42" t="s">
        <v>59</v>
      </c>
      <c r="D963" s="68"/>
      <c r="E963" s="77"/>
    </row>
    <row r="964" spans="1:5" ht="37.5" x14ac:dyDescent="0.3">
      <c r="A964" s="224" t="s">
        <v>1173</v>
      </c>
      <c r="B964" s="108" t="s">
        <v>1174</v>
      </c>
      <c r="C964" s="12" t="s">
        <v>50</v>
      </c>
      <c r="D964" s="68">
        <f>D965</f>
        <v>44.6</v>
      </c>
      <c r="E964" s="77"/>
    </row>
    <row r="965" spans="1:5" ht="37.5" x14ac:dyDescent="0.3">
      <c r="A965" s="138" t="s">
        <v>290</v>
      </c>
      <c r="B965" s="108" t="s">
        <v>1174</v>
      </c>
      <c r="C965" s="12" t="s">
        <v>291</v>
      </c>
      <c r="D965" s="68">
        <f>'В-25'!G927</f>
        <v>44.6</v>
      </c>
      <c r="E965" s="77"/>
    </row>
    <row r="966" spans="1:5" ht="58.5" x14ac:dyDescent="0.35">
      <c r="A966" s="284" t="s">
        <v>970</v>
      </c>
      <c r="B966" s="60" t="s">
        <v>968</v>
      </c>
      <c r="C966" s="60" t="s">
        <v>50</v>
      </c>
      <c r="D966" s="190">
        <f>D967</f>
        <v>144</v>
      </c>
      <c r="E966" s="77"/>
    </row>
    <row r="967" spans="1:5" ht="18.75" x14ac:dyDescent="0.3">
      <c r="A967" s="138" t="s">
        <v>793</v>
      </c>
      <c r="B967" s="12" t="s">
        <v>969</v>
      </c>
      <c r="C967" s="12" t="s">
        <v>50</v>
      </c>
      <c r="D967" s="68">
        <f>D968+D969</f>
        <v>144</v>
      </c>
      <c r="E967" s="77"/>
    </row>
    <row r="968" spans="1:5" ht="37.5" x14ac:dyDescent="0.3">
      <c r="A968" s="138" t="s">
        <v>425</v>
      </c>
      <c r="B968" s="12" t="s">
        <v>969</v>
      </c>
      <c r="C968" s="12" t="s">
        <v>59</v>
      </c>
      <c r="D968" s="68">
        <f>'В-25'!G693</f>
        <v>4</v>
      </c>
      <c r="E968" s="77"/>
    </row>
    <row r="969" spans="1:5" ht="37.5" x14ac:dyDescent="0.3">
      <c r="A969" s="138" t="s">
        <v>264</v>
      </c>
      <c r="B969" s="12" t="s">
        <v>969</v>
      </c>
      <c r="C969" s="12" t="s">
        <v>261</v>
      </c>
      <c r="D969" s="68">
        <f>'В-25'!G694</f>
        <v>140</v>
      </c>
      <c r="E969" s="77"/>
    </row>
    <row r="970" spans="1:5" ht="37.5" x14ac:dyDescent="0.3">
      <c r="A970" s="164" t="s">
        <v>413</v>
      </c>
      <c r="B970" s="72" t="s">
        <v>397</v>
      </c>
      <c r="C970" s="7" t="s">
        <v>50</v>
      </c>
      <c r="D970" s="189">
        <f>D971</f>
        <v>1100</v>
      </c>
      <c r="E970" s="77"/>
    </row>
    <row r="971" spans="1:5" ht="56.25" x14ac:dyDescent="0.3">
      <c r="A971" s="138" t="s">
        <v>103</v>
      </c>
      <c r="B971" s="34" t="s">
        <v>503</v>
      </c>
      <c r="C971" s="12" t="s">
        <v>50</v>
      </c>
      <c r="D971" s="68">
        <f>D972+D974</f>
        <v>1100</v>
      </c>
      <c r="E971" s="77"/>
    </row>
    <row r="972" spans="1:5" ht="37.5" x14ac:dyDescent="0.3">
      <c r="A972" s="138" t="s">
        <v>105</v>
      </c>
      <c r="B972" s="13" t="s">
        <v>398</v>
      </c>
      <c r="C972" s="13" t="s">
        <v>50</v>
      </c>
      <c r="D972" s="68">
        <f>D973</f>
        <v>1100</v>
      </c>
      <c r="E972" s="77"/>
    </row>
    <row r="973" spans="1:5" ht="75" x14ac:dyDescent="0.3">
      <c r="A973" s="138" t="s">
        <v>56</v>
      </c>
      <c r="B973" s="13" t="s">
        <v>398</v>
      </c>
      <c r="C973" s="13" t="s">
        <v>57</v>
      </c>
      <c r="D973" s="68">
        <f>'В-25'!G1567</f>
        <v>1100</v>
      </c>
      <c r="E973" s="77"/>
    </row>
    <row r="974" spans="1:5" ht="33" hidden="1" customHeight="1" x14ac:dyDescent="0.3">
      <c r="A974" s="157" t="s">
        <v>374</v>
      </c>
      <c r="B974" s="13" t="s">
        <v>517</v>
      </c>
      <c r="C974" s="13" t="s">
        <v>50</v>
      </c>
      <c r="D974" s="68">
        <f>D975</f>
        <v>0</v>
      </c>
      <c r="E974" s="77"/>
    </row>
    <row r="975" spans="1:5" ht="75" hidden="1" x14ac:dyDescent="0.3">
      <c r="A975" s="138" t="s">
        <v>56</v>
      </c>
      <c r="B975" s="13" t="s">
        <v>517</v>
      </c>
      <c r="C975" s="13" t="s">
        <v>57</v>
      </c>
      <c r="D975" s="68">
        <f>'В-25'!G1569</f>
        <v>0</v>
      </c>
      <c r="E975" s="77"/>
    </row>
    <row r="976" spans="1:5" ht="15.75" x14ac:dyDescent="0.25">
      <c r="A976" s="184"/>
      <c r="B976" s="56"/>
      <c r="C976" s="55"/>
      <c r="D976" s="192"/>
      <c r="E976" s="77"/>
    </row>
    <row r="977" spans="1:5" ht="15.75" x14ac:dyDescent="0.25">
      <c r="A977" s="184"/>
      <c r="B977" s="56"/>
      <c r="C977" s="55"/>
      <c r="D977" s="192"/>
      <c r="E977" s="77"/>
    </row>
    <row r="978" spans="1:5" ht="15.75" x14ac:dyDescent="0.25">
      <c r="A978" s="184"/>
      <c r="B978" s="56"/>
      <c r="C978" s="55"/>
      <c r="D978" s="192"/>
      <c r="E978" s="77"/>
    </row>
    <row r="979" spans="1:5" ht="15.75" x14ac:dyDescent="0.25">
      <c r="A979" s="184"/>
      <c r="B979" s="56"/>
      <c r="C979" s="55"/>
      <c r="D979" s="192"/>
      <c r="E979" s="77"/>
    </row>
    <row r="980" spans="1:5" ht="15.75" x14ac:dyDescent="0.25">
      <c r="A980" s="184"/>
      <c r="B980" s="56"/>
      <c r="C980" s="55"/>
      <c r="D980" s="192"/>
      <c r="E980" s="77"/>
    </row>
    <row r="981" spans="1:5" ht="15.75" x14ac:dyDescent="0.25">
      <c r="A981" s="184"/>
      <c r="B981" s="56"/>
      <c r="C981" s="55"/>
      <c r="D981" s="192"/>
      <c r="E981" s="77"/>
    </row>
    <row r="982" spans="1:5" ht="15.75" x14ac:dyDescent="0.25">
      <c r="A982" s="184"/>
      <c r="B982" s="56"/>
      <c r="C982" s="55"/>
      <c r="D982" s="192"/>
      <c r="E982" s="77"/>
    </row>
    <row r="983" spans="1:5" ht="15.75" x14ac:dyDescent="0.25">
      <c r="A983" s="184"/>
      <c r="B983" s="56"/>
      <c r="C983" s="55"/>
      <c r="D983" s="192"/>
      <c r="E983" s="77"/>
    </row>
    <row r="984" spans="1:5" ht="15.75" x14ac:dyDescent="0.25">
      <c r="A984" s="184"/>
      <c r="B984" s="56"/>
      <c r="C984" s="55"/>
      <c r="D984" s="192"/>
      <c r="E984" s="77"/>
    </row>
    <row r="985" spans="1:5" ht="15.75" x14ac:dyDescent="0.25">
      <c r="A985" s="184"/>
      <c r="B985" s="56"/>
      <c r="C985" s="55"/>
      <c r="D985" s="192"/>
      <c r="E985" s="77"/>
    </row>
    <row r="986" spans="1:5" ht="15.75" x14ac:dyDescent="0.25">
      <c r="A986" s="184"/>
      <c r="B986" s="56"/>
      <c r="C986" s="55"/>
      <c r="D986" s="192"/>
      <c r="E986" s="77"/>
    </row>
    <row r="987" spans="1:5" ht="15.75" x14ac:dyDescent="0.25">
      <c r="A987" s="184"/>
      <c r="B987" s="56"/>
      <c r="C987" s="55"/>
      <c r="D987" s="192"/>
      <c r="E987" s="77"/>
    </row>
    <row r="988" spans="1:5" ht="15.75" x14ac:dyDescent="0.25">
      <c r="A988" s="184"/>
      <c r="B988" s="57"/>
      <c r="C988" s="55"/>
      <c r="D988" s="192"/>
      <c r="E988" s="77"/>
    </row>
    <row r="989" spans="1:5" ht="15.75" x14ac:dyDescent="0.25">
      <c r="A989" s="184"/>
      <c r="B989" s="57"/>
      <c r="C989" s="55"/>
      <c r="D989" s="192"/>
      <c r="E989" s="77"/>
    </row>
    <row r="990" spans="1:5" ht="15.75" x14ac:dyDescent="0.25">
      <c r="A990" s="184"/>
      <c r="B990" s="57"/>
      <c r="C990" s="55"/>
      <c r="D990" s="192"/>
      <c r="E990" s="77"/>
    </row>
    <row r="991" spans="1:5" ht="15.75" x14ac:dyDescent="0.25">
      <c r="A991" s="184"/>
      <c r="B991" s="57"/>
      <c r="C991" s="55"/>
      <c r="D991" s="192"/>
      <c r="E991" s="77"/>
    </row>
    <row r="992" spans="1:5" ht="15.75" x14ac:dyDescent="0.25">
      <c r="A992" s="184"/>
      <c r="B992" s="57"/>
      <c r="C992" s="55"/>
      <c r="D992" s="192"/>
      <c r="E992" s="77"/>
    </row>
    <row r="993" spans="1:5" ht="15.75" x14ac:dyDescent="0.25">
      <c r="A993" s="184"/>
      <c r="B993" s="57"/>
      <c r="C993" s="55"/>
      <c r="D993" s="192"/>
      <c r="E993" s="77"/>
    </row>
    <row r="994" spans="1:5" ht="15.75" x14ac:dyDescent="0.25">
      <c r="A994" s="184"/>
      <c r="B994" s="57"/>
      <c r="C994" s="55"/>
      <c r="D994" s="192"/>
      <c r="E994" s="77"/>
    </row>
    <row r="995" spans="1:5" ht="15.75" x14ac:dyDescent="0.25">
      <c r="A995" s="184"/>
      <c r="B995" s="57"/>
      <c r="C995" s="55"/>
      <c r="D995" s="192"/>
      <c r="E995" s="77"/>
    </row>
    <row r="996" spans="1:5" ht="15.75" x14ac:dyDescent="0.25">
      <c r="A996" s="184"/>
      <c r="B996" s="57"/>
      <c r="C996" s="55"/>
      <c r="D996" s="192"/>
      <c r="E996" s="77"/>
    </row>
    <row r="997" spans="1:5" ht="15.75" x14ac:dyDescent="0.25">
      <c r="A997" s="184"/>
      <c r="B997" s="57"/>
      <c r="C997" s="55"/>
      <c r="D997" s="192"/>
      <c r="E997" s="77"/>
    </row>
    <row r="998" spans="1:5" ht="15.75" x14ac:dyDescent="0.25">
      <c r="A998" s="184"/>
      <c r="B998" s="57"/>
      <c r="C998" s="55"/>
      <c r="D998" s="192"/>
      <c r="E998" s="77"/>
    </row>
    <row r="999" spans="1:5" ht="15.75" x14ac:dyDescent="0.25">
      <c r="A999" s="184"/>
      <c r="B999" s="57"/>
      <c r="C999" s="55"/>
      <c r="D999" s="192"/>
      <c r="E999" s="77"/>
    </row>
    <row r="1000" spans="1:5" ht="15.75" x14ac:dyDescent="0.25">
      <c r="A1000" s="184"/>
      <c r="B1000" s="57"/>
      <c r="C1000" s="55"/>
      <c r="D1000" s="192"/>
      <c r="E1000" s="77"/>
    </row>
    <row r="1001" spans="1:5" ht="15.75" x14ac:dyDescent="0.25">
      <c r="A1001" s="184"/>
      <c r="B1001" s="57"/>
      <c r="C1001" s="55"/>
      <c r="D1001" s="192"/>
      <c r="E1001" s="77"/>
    </row>
    <row r="1002" spans="1:5" ht="15.75" x14ac:dyDescent="0.25">
      <c r="A1002" s="184"/>
      <c r="B1002" s="57"/>
      <c r="C1002" s="55"/>
      <c r="D1002" s="192"/>
      <c r="E1002" s="77"/>
    </row>
    <row r="1003" spans="1:5" ht="15.75" x14ac:dyDescent="0.25">
      <c r="A1003" s="184"/>
      <c r="B1003" s="57"/>
      <c r="C1003" s="55"/>
      <c r="D1003" s="192"/>
      <c r="E1003" s="77"/>
    </row>
    <row r="1004" spans="1:5" ht="15.75" x14ac:dyDescent="0.25">
      <c r="A1004" s="184"/>
      <c r="B1004" s="57"/>
      <c r="C1004" s="55"/>
      <c r="D1004" s="192"/>
      <c r="E1004" s="77"/>
    </row>
    <row r="1005" spans="1:5" ht="15.75" x14ac:dyDescent="0.25">
      <c r="A1005" s="184"/>
      <c r="B1005" s="57"/>
      <c r="C1005" s="55"/>
      <c r="D1005" s="192"/>
      <c r="E1005" s="77"/>
    </row>
    <row r="1006" spans="1:5" ht="15.75" x14ac:dyDescent="0.25">
      <c r="A1006" s="184"/>
      <c r="B1006" s="57"/>
      <c r="C1006" s="55"/>
      <c r="D1006" s="192"/>
      <c r="E1006" s="77"/>
    </row>
    <row r="1007" spans="1:5" ht="15.75" x14ac:dyDescent="0.25">
      <c r="A1007" s="184"/>
      <c r="B1007" s="57"/>
      <c r="C1007" s="55"/>
      <c r="D1007" s="192"/>
      <c r="E1007" s="77"/>
    </row>
    <row r="1008" spans="1:5" ht="15.75" x14ac:dyDescent="0.25">
      <c r="A1008" s="184"/>
      <c r="B1008" s="57"/>
      <c r="C1008" s="55"/>
      <c r="D1008" s="192"/>
      <c r="E1008" s="77"/>
    </row>
    <row r="1009" spans="1:5" ht="15.75" x14ac:dyDescent="0.25">
      <c r="A1009" s="184"/>
      <c r="B1009" s="57"/>
      <c r="C1009" s="55"/>
      <c r="D1009" s="192"/>
      <c r="E1009" s="77"/>
    </row>
    <row r="1010" spans="1:5" ht="15.75" x14ac:dyDescent="0.25">
      <c r="A1010" s="184"/>
      <c r="B1010" s="57"/>
      <c r="C1010" s="55"/>
      <c r="D1010" s="192"/>
      <c r="E1010" s="77"/>
    </row>
    <row r="1011" spans="1:5" ht="15.75" x14ac:dyDescent="0.25">
      <c r="A1011" s="184"/>
      <c r="B1011" s="57"/>
      <c r="C1011" s="55"/>
      <c r="D1011" s="192"/>
      <c r="E1011" s="77"/>
    </row>
    <row r="1012" spans="1:5" ht="15.75" x14ac:dyDescent="0.25">
      <c r="A1012" s="184"/>
      <c r="B1012" s="57"/>
      <c r="C1012" s="55"/>
      <c r="D1012" s="192"/>
      <c r="E1012" s="77"/>
    </row>
    <row r="1013" spans="1:5" ht="15.75" x14ac:dyDescent="0.25">
      <c r="A1013" s="184"/>
      <c r="B1013" s="57"/>
      <c r="C1013" s="55"/>
      <c r="D1013" s="192"/>
      <c r="E1013" s="77"/>
    </row>
    <row r="1014" spans="1:5" ht="15.75" x14ac:dyDescent="0.25">
      <c r="A1014" s="184"/>
      <c r="B1014" s="57"/>
      <c r="C1014" s="55"/>
      <c r="D1014" s="192"/>
      <c r="E1014" s="77"/>
    </row>
    <row r="1015" spans="1:5" ht="15.75" x14ac:dyDescent="0.25">
      <c r="A1015" s="184"/>
      <c r="B1015" s="57"/>
      <c r="C1015" s="55"/>
      <c r="D1015" s="192"/>
      <c r="E1015" s="77"/>
    </row>
    <row r="1016" spans="1:5" ht="15.75" x14ac:dyDescent="0.25">
      <c r="A1016" s="184"/>
      <c r="B1016" s="57"/>
      <c r="C1016" s="55"/>
      <c r="D1016" s="192"/>
      <c r="E1016" s="77"/>
    </row>
    <row r="1017" spans="1:5" ht="15.75" x14ac:dyDescent="0.25">
      <c r="A1017" s="184"/>
      <c r="B1017" s="57"/>
      <c r="C1017" s="55"/>
      <c r="D1017" s="192"/>
      <c r="E1017" s="77"/>
    </row>
    <row r="1018" spans="1:5" ht="15.75" x14ac:dyDescent="0.25">
      <c r="A1018" s="184"/>
      <c r="B1018" s="57"/>
      <c r="C1018" s="55"/>
      <c r="D1018" s="192"/>
      <c r="E1018" s="77"/>
    </row>
    <row r="1019" spans="1:5" ht="15.75" x14ac:dyDescent="0.25">
      <c r="A1019" s="184"/>
      <c r="B1019" s="57"/>
      <c r="C1019" s="55"/>
      <c r="D1019" s="192"/>
      <c r="E1019" s="77"/>
    </row>
    <row r="1020" spans="1:5" ht="15.75" x14ac:dyDescent="0.25">
      <c r="A1020" s="184"/>
      <c r="B1020" s="57"/>
      <c r="C1020" s="55"/>
      <c r="D1020" s="192"/>
      <c r="E1020" s="77"/>
    </row>
    <row r="1021" spans="1:5" ht="15.75" x14ac:dyDescent="0.25">
      <c r="A1021" s="184"/>
      <c r="B1021" s="57"/>
      <c r="C1021" s="55"/>
      <c r="D1021" s="192"/>
      <c r="E1021" s="77"/>
    </row>
    <row r="1022" spans="1:5" ht="15.75" x14ac:dyDescent="0.25">
      <c r="A1022" s="184"/>
      <c r="B1022" s="57"/>
      <c r="C1022" s="55"/>
      <c r="D1022" s="192"/>
      <c r="E1022" s="77"/>
    </row>
    <row r="1023" spans="1:5" ht="15.75" x14ac:dyDescent="0.25">
      <c r="A1023" s="184"/>
      <c r="B1023" s="57"/>
      <c r="C1023" s="55"/>
      <c r="D1023" s="192"/>
      <c r="E1023" s="77"/>
    </row>
    <row r="1024" spans="1:5" ht="15.75" x14ac:dyDescent="0.25">
      <c r="A1024" s="184"/>
      <c r="B1024" s="57"/>
      <c r="C1024" s="55"/>
      <c r="D1024" s="192"/>
      <c r="E1024" s="77"/>
    </row>
    <row r="1025" spans="1:5" ht="15.75" x14ac:dyDescent="0.25">
      <c r="A1025" s="184"/>
      <c r="B1025" s="57"/>
      <c r="C1025" s="55"/>
      <c r="D1025" s="192"/>
      <c r="E1025" s="77"/>
    </row>
    <row r="1026" spans="1:5" ht="15.75" x14ac:dyDescent="0.25">
      <c r="A1026" s="184"/>
      <c r="B1026" s="57"/>
      <c r="C1026" s="55"/>
      <c r="D1026" s="192"/>
      <c r="E1026" s="77"/>
    </row>
    <row r="1027" spans="1:5" ht="15.75" x14ac:dyDescent="0.25">
      <c r="A1027" s="184"/>
      <c r="B1027" s="57"/>
      <c r="C1027" s="55"/>
      <c r="D1027" s="192"/>
      <c r="E1027" s="77"/>
    </row>
    <row r="1028" spans="1:5" ht="15.75" x14ac:dyDescent="0.25">
      <c r="A1028" s="184"/>
      <c r="B1028" s="57"/>
      <c r="C1028" s="55"/>
      <c r="D1028" s="192"/>
      <c r="E1028" s="77"/>
    </row>
    <row r="1029" spans="1:5" ht="15.75" x14ac:dyDescent="0.25">
      <c r="A1029" s="184"/>
      <c r="B1029" s="57"/>
      <c r="C1029" s="55"/>
      <c r="D1029" s="192"/>
      <c r="E1029" s="77"/>
    </row>
    <row r="1030" spans="1:5" ht="15.75" x14ac:dyDescent="0.25">
      <c r="A1030" s="184"/>
      <c r="B1030" s="57"/>
      <c r="C1030" s="55"/>
      <c r="D1030" s="192"/>
      <c r="E1030" s="77"/>
    </row>
    <row r="1031" spans="1:5" ht="15.75" x14ac:dyDescent="0.25">
      <c r="A1031" s="184"/>
      <c r="B1031" s="57"/>
      <c r="C1031" s="55"/>
      <c r="D1031" s="192"/>
      <c r="E1031" s="77"/>
    </row>
    <row r="1032" spans="1:5" ht="15.75" x14ac:dyDescent="0.25">
      <c r="A1032" s="184"/>
      <c r="B1032" s="57"/>
      <c r="C1032" s="55"/>
      <c r="D1032" s="192"/>
      <c r="E1032" s="77"/>
    </row>
    <row r="1033" spans="1:5" ht="15.75" x14ac:dyDescent="0.25">
      <c r="A1033" s="184"/>
      <c r="B1033" s="57"/>
      <c r="C1033" s="55"/>
      <c r="D1033" s="192"/>
      <c r="E1033" s="77"/>
    </row>
    <row r="1034" spans="1:5" ht="15.75" x14ac:dyDescent="0.25">
      <c r="A1034" s="184"/>
      <c r="B1034" s="57"/>
      <c r="C1034" s="55"/>
      <c r="D1034" s="192"/>
      <c r="E1034" s="77"/>
    </row>
    <row r="1035" spans="1:5" ht="15.75" x14ac:dyDescent="0.25">
      <c r="A1035" s="184"/>
      <c r="B1035" s="57"/>
      <c r="C1035" s="55"/>
      <c r="D1035" s="192"/>
      <c r="E1035" s="77"/>
    </row>
    <row r="1036" spans="1:5" ht="15.75" x14ac:dyDescent="0.25">
      <c r="A1036" s="184"/>
      <c r="B1036" s="57"/>
      <c r="C1036" s="55"/>
      <c r="D1036" s="192"/>
      <c r="E1036" s="77"/>
    </row>
    <row r="1037" spans="1:5" ht="15.75" x14ac:dyDescent="0.25">
      <c r="A1037" s="184"/>
      <c r="B1037" s="57"/>
      <c r="C1037" s="55"/>
      <c r="D1037" s="192"/>
      <c r="E1037" s="77"/>
    </row>
    <row r="1038" spans="1:5" ht="15.75" x14ac:dyDescent="0.25">
      <c r="A1038" s="184"/>
      <c r="B1038" s="57"/>
      <c r="C1038" s="55"/>
      <c r="D1038" s="192"/>
      <c r="E1038" s="77"/>
    </row>
    <row r="1039" spans="1:5" ht="15.75" x14ac:dyDescent="0.25">
      <c r="A1039" s="184"/>
      <c r="B1039" s="57"/>
      <c r="C1039" s="55"/>
      <c r="D1039" s="192"/>
      <c r="E1039" s="77"/>
    </row>
    <row r="1040" spans="1:5" ht="15.75" x14ac:dyDescent="0.25">
      <c r="A1040" s="184"/>
      <c r="B1040" s="57"/>
      <c r="C1040" s="55"/>
      <c r="D1040" s="192"/>
      <c r="E1040" s="77"/>
    </row>
    <row r="1041" spans="1:5" ht="15.75" x14ac:dyDescent="0.25">
      <c r="A1041" s="184"/>
      <c r="B1041" s="57"/>
      <c r="C1041" s="55"/>
      <c r="D1041" s="192"/>
      <c r="E1041" s="77"/>
    </row>
    <row r="1042" spans="1:5" ht="15.75" x14ac:dyDescent="0.25">
      <c r="A1042" s="184"/>
      <c r="B1042" s="57"/>
      <c r="C1042" s="55"/>
      <c r="D1042" s="192"/>
      <c r="E1042" s="77"/>
    </row>
    <row r="1043" spans="1:5" ht="15.75" x14ac:dyDescent="0.25">
      <c r="A1043" s="184"/>
      <c r="B1043" s="57"/>
      <c r="C1043" s="55"/>
      <c r="D1043" s="192"/>
      <c r="E1043" s="77"/>
    </row>
    <row r="1044" spans="1:5" ht="15.75" x14ac:dyDescent="0.25">
      <c r="A1044" s="184"/>
      <c r="B1044" s="57"/>
      <c r="C1044" s="55"/>
      <c r="D1044" s="192"/>
      <c r="E1044" s="77"/>
    </row>
    <row r="1045" spans="1:5" ht="15.75" x14ac:dyDescent="0.25">
      <c r="A1045" s="184"/>
      <c r="B1045" s="57"/>
      <c r="C1045" s="55"/>
      <c r="D1045" s="192"/>
      <c r="E1045" s="77"/>
    </row>
    <row r="1046" spans="1:5" ht="15.75" x14ac:dyDescent="0.25">
      <c r="A1046" s="184"/>
      <c r="B1046" s="57"/>
      <c r="C1046" s="55"/>
      <c r="D1046" s="192"/>
      <c r="E1046" s="77"/>
    </row>
    <row r="1047" spans="1:5" ht="15.75" x14ac:dyDescent="0.25">
      <c r="A1047" s="184"/>
      <c r="B1047" s="57"/>
      <c r="C1047" s="55"/>
      <c r="D1047" s="192"/>
      <c r="E1047" s="77"/>
    </row>
    <row r="1048" spans="1:5" ht="15.75" x14ac:dyDescent="0.25">
      <c r="A1048" s="184"/>
      <c r="B1048" s="57"/>
      <c r="C1048" s="55"/>
      <c r="D1048" s="192"/>
      <c r="E1048" s="77"/>
    </row>
    <row r="1049" spans="1:5" ht="15.75" x14ac:dyDescent="0.25">
      <c r="A1049" s="184"/>
      <c r="B1049" s="57"/>
      <c r="C1049" s="55"/>
      <c r="D1049" s="192"/>
      <c r="E1049" s="77"/>
    </row>
    <row r="1050" spans="1:5" ht="15.75" x14ac:dyDescent="0.25">
      <c r="A1050" s="184"/>
      <c r="B1050" s="57"/>
      <c r="C1050" s="55"/>
      <c r="D1050" s="192"/>
      <c r="E1050" s="77"/>
    </row>
    <row r="1051" spans="1:5" ht="15.75" x14ac:dyDescent="0.25">
      <c r="A1051" s="184"/>
      <c r="B1051" s="57"/>
      <c r="C1051" s="55"/>
      <c r="D1051" s="192"/>
      <c r="E1051" s="77"/>
    </row>
    <row r="1052" spans="1:5" ht="15.75" x14ac:dyDescent="0.25">
      <c r="A1052" s="184"/>
      <c r="B1052" s="57"/>
      <c r="C1052" s="55"/>
      <c r="D1052" s="192"/>
      <c r="E1052" s="77"/>
    </row>
    <row r="1053" spans="1:5" ht="15.75" x14ac:dyDescent="0.25">
      <c r="A1053" s="184"/>
      <c r="B1053" s="57"/>
      <c r="C1053" s="55"/>
      <c r="D1053" s="192"/>
      <c r="E1053" s="77"/>
    </row>
    <row r="1054" spans="1:5" ht="15.75" x14ac:dyDescent="0.25">
      <c r="A1054" s="184"/>
      <c r="B1054" s="57"/>
      <c r="C1054" s="55"/>
      <c r="D1054" s="192"/>
      <c r="E1054" s="77"/>
    </row>
    <row r="1055" spans="1:5" ht="15.75" x14ac:dyDescent="0.25">
      <c r="A1055" s="184"/>
      <c r="B1055" s="57"/>
      <c r="C1055" s="55"/>
      <c r="D1055" s="192"/>
      <c r="E1055" s="77"/>
    </row>
    <row r="1056" spans="1:5" ht="15.75" x14ac:dyDescent="0.25">
      <c r="A1056" s="184"/>
      <c r="B1056" s="57"/>
      <c r="C1056" s="55"/>
      <c r="D1056" s="192"/>
      <c r="E1056" s="77"/>
    </row>
    <row r="1057" spans="1:5" ht="15.75" x14ac:dyDescent="0.25">
      <c r="A1057" s="184"/>
      <c r="B1057" s="57"/>
      <c r="C1057" s="55"/>
      <c r="D1057" s="192"/>
      <c r="E1057" s="77"/>
    </row>
    <row r="1058" spans="1:5" ht="15.75" x14ac:dyDescent="0.25">
      <c r="A1058" s="184"/>
      <c r="B1058" s="57"/>
      <c r="C1058" s="55"/>
      <c r="D1058" s="192"/>
      <c r="E1058" s="77"/>
    </row>
    <row r="1059" spans="1:5" ht="15.75" x14ac:dyDescent="0.25">
      <c r="A1059" s="184"/>
      <c r="B1059" s="57"/>
      <c r="C1059" s="55"/>
      <c r="D1059" s="192"/>
      <c r="E1059" s="77"/>
    </row>
    <row r="1060" spans="1:5" ht="15.75" x14ac:dyDescent="0.25">
      <c r="A1060" s="184"/>
      <c r="B1060" s="57"/>
      <c r="C1060" s="55"/>
      <c r="D1060" s="192"/>
      <c r="E1060" s="77"/>
    </row>
    <row r="1061" spans="1:5" ht="15.75" x14ac:dyDescent="0.25">
      <c r="A1061" s="184"/>
      <c r="B1061" s="57"/>
      <c r="C1061" s="55"/>
      <c r="D1061" s="192"/>
      <c r="E1061" s="77"/>
    </row>
    <row r="1062" spans="1:5" ht="15.75" x14ac:dyDescent="0.25">
      <c r="A1062" s="184"/>
      <c r="B1062" s="57"/>
      <c r="C1062" s="55"/>
      <c r="D1062" s="192"/>
      <c r="E1062" s="77"/>
    </row>
    <row r="1063" spans="1:5" ht="15.75" x14ac:dyDescent="0.25">
      <c r="A1063" s="184"/>
      <c r="B1063" s="57"/>
      <c r="C1063" s="55"/>
      <c r="D1063" s="192"/>
      <c r="E1063" s="77"/>
    </row>
    <row r="1064" spans="1:5" ht="15.75" x14ac:dyDescent="0.25">
      <c r="A1064" s="184"/>
      <c r="B1064" s="57"/>
      <c r="C1064" s="55"/>
      <c r="D1064" s="192"/>
      <c r="E1064" s="77"/>
    </row>
    <row r="1065" spans="1:5" ht="15.75" x14ac:dyDescent="0.25">
      <c r="A1065" s="184"/>
      <c r="B1065" s="57"/>
      <c r="C1065" s="55"/>
      <c r="D1065" s="192"/>
      <c r="E1065" s="77"/>
    </row>
    <row r="1066" spans="1:5" ht="15.75" x14ac:dyDescent="0.25">
      <c r="A1066" s="184"/>
      <c r="B1066" s="57"/>
      <c r="C1066" s="55"/>
      <c r="D1066" s="192"/>
      <c r="E1066" s="77"/>
    </row>
    <row r="1067" spans="1:5" ht="15.75" x14ac:dyDescent="0.25">
      <c r="A1067" s="184"/>
      <c r="B1067" s="57"/>
      <c r="C1067" s="55"/>
      <c r="D1067" s="192"/>
      <c r="E1067" s="77"/>
    </row>
    <row r="1068" spans="1:5" ht="15.75" x14ac:dyDescent="0.25">
      <c r="A1068" s="184"/>
      <c r="B1068" s="57"/>
      <c r="C1068" s="55"/>
      <c r="D1068" s="192"/>
      <c r="E1068" s="77"/>
    </row>
    <row r="1069" spans="1:5" ht="15.75" x14ac:dyDescent="0.25">
      <c r="A1069" s="184"/>
      <c r="B1069" s="57"/>
      <c r="C1069" s="55"/>
      <c r="D1069" s="192"/>
      <c r="E1069" s="77"/>
    </row>
    <row r="1070" spans="1:5" ht="15.75" x14ac:dyDescent="0.25">
      <c r="A1070" s="184"/>
      <c r="B1070" s="57"/>
      <c r="C1070" s="55"/>
      <c r="D1070" s="192"/>
      <c r="E1070" s="77"/>
    </row>
    <row r="1071" spans="1:5" ht="15.75" x14ac:dyDescent="0.25">
      <c r="A1071" s="184"/>
      <c r="B1071" s="57"/>
      <c r="C1071" s="55"/>
      <c r="D1071" s="192"/>
      <c r="E1071" s="77"/>
    </row>
    <row r="1072" spans="1:5" ht="15.75" x14ac:dyDescent="0.25">
      <c r="A1072" s="184"/>
      <c r="B1072" s="57"/>
      <c r="C1072" s="55"/>
      <c r="D1072" s="192"/>
      <c r="E1072" s="77"/>
    </row>
    <row r="1073" spans="1:5" ht="15.75" x14ac:dyDescent="0.25">
      <c r="A1073" s="184"/>
      <c r="B1073" s="57"/>
      <c r="C1073" s="55"/>
      <c r="D1073" s="192"/>
      <c r="E1073" s="77"/>
    </row>
    <row r="1074" spans="1:5" ht="15.75" x14ac:dyDescent="0.25">
      <c r="A1074" s="184"/>
      <c r="B1074" s="57"/>
      <c r="C1074" s="55"/>
      <c r="D1074" s="192"/>
      <c r="E1074" s="77"/>
    </row>
    <row r="1075" spans="1:5" ht="15.75" x14ac:dyDescent="0.25">
      <c r="A1075" s="184"/>
      <c r="B1075" s="57"/>
      <c r="C1075" s="55"/>
      <c r="D1075" s="192"/>
      <c r="E1075" s="77"/>
    </row>
    <row r="1076" spans="1:5" ht="15.75" x14ac:dyDescent="0.25">
      <c r="A1076" s="184"/>
      <c r="B1076" s="57"/>
      <c r="C1076" s="55"/>
      <c r="D1076" s="192"/>
      <c r="E1076" s="77"/>
    </row>
    <row r="1077" spans="1:5" ht="15.75" x14ac:dyDescent="0.25">
      <c r="A1077" s="184"/>
      <c r="B1077" s="57"/>
      <c r="C1077" s="55"/>
      <c r="D1077" s="192"/>
      <c r="E1077" s="77"/>
    </row>
    <row r="1078" spans="1:5" ht="15.75" x14ac:dyDescent="0.25">
      <c r="A1078" s="184"/>
      <c r="B1078" s="57"/>
      <c r="C1078" s="55"/>
      <c r="D1078" s="192"/>
      <c r="E1078" s="77"/>
    </row>
    <row r="1079" spans="1:5" ht="15.75" x14ac:dyDescent="0.25">
      <c r="A1079" s="184"/>
      <c r="B1079" s="57"/>
      <c r="C1079" s="55"/>
      <c r="D1079" s="192"/>
      <c r="E1079" s="77"/>
    </row>
    <row r="1080" spans="1:5" ht="15.75" x14ac:dyDescent="0.25">
      <c r="A1080" s="184"/>
      <c r="B1080" s="57"/>
      <c r="C1080" s="55"/>
      <c r="D1080" s="192"/>
      <c r="E1080" s="77"/>
    </row>
    <row r="1081" spans="1:5" ht="15.75" x14ac:dyDescent="0.25">
      <c r="A1081" s="184"/>
      <c r="B1081" s="57"/>
      <c r="C1081" s="55"/>
      <c r="D1081" s="192"/>
      <c r="E1081" s="77"/>
    </row>
    <row r="1082" spans="1:5" ht="15.75" x14ac:dyDescent="0.25">
      <c r="A1082" s="184"/>
      <c r="B1082" s="57"/>
      <c r="C1082" s="55"/>
      <c r="D1082" s="192"/>
      <c r="E1082" s="77"/>
    </row>
    <row r="1083" spans="1:5" ht="15.75" x14ac:dyDescent="0.25">
      <c r="A1083" s="184"/>
      <c r="B1083" s="57"/>
      <c r="C1083" s="55"/>
      <c r="D1083" s="192"/>
      <c r="E1083" s="77"/>
    </row>
    <row r="1084" spans="1:5" ht="15.75" x14ac:dyDescent="0.25">
      <c r="A1084" s="184"/>
      <c r="B1084" s="57"/>
      <c r="C1084" s="55"/>
      <c r="D1084" s="192"/>
      <c r="E1084" s="77"/>
    </row>
    <row r="1085" spans="1:5" ht="15.75" x14ac:dyDescent="0.25">
      <c r="A1085" s="184"/>
      <c r="B1085" s="57"/>
      <c r="C1085" s="55"/>
      <c r="D1085" s="192"/>
      <c r="E1085" s="77"/>
    </row>
    <row r="1086" spans="1:5" ht="15.75" x14ac:dyDescent="0.25">
      <c r="A1086" s="184"/>
      <c r="B1086" s="57"/>
      <c r="C1086" s="55"/>
      <c r="D1086" s="192"/>
      <c r="E1086" s="77"/>
    </row>
    <row r="1087" spans="1:5" ht="15.75" x14ac:dyDescent="0.25">
      <c r="A1087" s="184"/>
      <c r="B1087" s="57"/>
      <c r="C1087" s="55"/>
      <c r="D1087" s="192"/>
      <c r="E1087" s="77"/>
    </row>
    <row r="1088" spans="1:5" ht="15.75" x14ac:dyDescent="0.25">
      <c r="A1088" s="184"/>
      <c r="B1088" s="57"/>
      <c r="C1088" s="55"/>
      <c r="D1088" s="192"/>
      <c r="E1088" s="77"/>
    </row>
    <row r="1089" spans="1:5" ht="15.75" x14ac:dyDescent="0.25">
      <c r="A1089" s="184"/>
      <c r="B1089" s="57"/>
      <c r="C1089" s="55"/>
      <c r="D1089" s="192"/>
      <c r="E1089" s="77"/>
    </row>
    <row r="1090" spans="1:5" ht="15.75" x14ac:dyDescent="0.25">
      <c r="A1090" s="184"/>
      <c r="B1090" s="57"/>
      <c r="C1090" s="55"/>
      <c r="D1090" s="192"/>
      <c r="E1090" s="77"/>
    </row>
    <row r="1091" spans="1:5" ht="15.75" x14ac:dyDescent="0.25">
      <c r="A1091" s="184"/>
      <c r="B1091" s="57"/>
      <c r="C1091" s="55"/>
      <c r="D1091" s="192"/>
      <c r="E1091" s="77"/>
    </row>
    <row r="1092" spans="1:5" ht="15.75" x14ac:dyDescent="0.25">
      <c r="A1092" s="184"/>
      <c r="B1092" s="57"/>
      <c r="C1092" s="55"/>
      <c r="D1092" s="192"/>
      <c r="E1092" s="77"/>
    </row>
    <row r="1093" spans="1:5" ht="15.75" x14ac:dyDescent="0.25">
      <c r="A1093" s="184"/>
      <c r="B1093" s="57"/>
      <c r="C1093" s="55"/>
      <c r="D1093" s="192"/>
      <c r="E1093" s="77"/>
    </row>
    <row r="1094" spans="1:5" ht="15.75" x14ac:dyDescent="0.25">
      <c r="A1094" s="184"/>
      <c r="B1094" s="57"/>
      <c r="C1094" s="55"/>
      <c r="D1094" s="192"/>
      <c r="E1094" s="77"/>
    </row>
    <row r="1095" spans="1:5" ht="15.75" x14ac:dyDescent="0.25">
      <c r="A1095" s="184"/>
      <c r="B1095" s="57"/>
      <c r="C1095" s="55"/>
      <c r="D1095" s="192"/>
      <c r="E1095" s="77"/>
    </row>
    <row r="1096" spans="1:5" ht="15.75" x14ac:dyDescent="0.25">
      <c r="A1096" s="184"/>
      <c r="B1096" s="57"/>
      <c r="C1096" s="55"/>
      <c r="D1096" s="192"/>
      <c r="E1096" s="77"/>
    </row>
    <row r="1097" spans="1:5" ht="15.75" x14ac:dyDescent="0.25">
      <c r="A1097" s="184"/>
      <c r="B1097" s="57"/>
      <c r="C1097" s="55"/>
      <c r="D1097" s="192"/>
      <c r="E1097" s="77"/>
    </row>
    <row r="1098" spans="1:5" ht="15.75" x14ac:dyDescent="0.25">
      <c r="A1098" s="184"/>
      <c r="B1098" s="57"/>
      <c r="C1098" s="55"/>
      <c r="D1098" s="192"/>
      <c r="E1098" s="77"/>
    </row>
    <row r="1099" spans="1:5" ht="15.75" x14ac:dyDescent="0.25">
      <c r="A1099" s="184"/>
      <c r="B1099" s="57"/>
      <c r="C1099" s="55"/>
      <c r="D1099" s="192"/>
      <c r="E1099" s="77"/>
    </row>
    <row r="1100" spans="1:5" ht="15.75" x14ac:dyDescent="0.25">
      <c r="A1100" s="184"/>
      <c r="B1100" s="57"/>
      <c r="C1100" s="55"/>
      <c r="D1100" s="192"/>
      <c r="E1100" s="77"/>
    </row>
    <row r="1101" spans="1:5" ht="15.75" x14ac:dyDescent="0.25">
      <c r="A1101" s="184"/>
      <c r="B1101" s="57"/>
      <c r="C1101" s="55"/>
      <c r="D1101" s="192"/>
      <c r="E1101" s="77"/>
    </row>
    <row r="1102" spans="1:5" ht="15.75" x14ac:dyDescent="0.25">
      <c r="A1102" s="184"/>
      <c r="B1102" s="57"/>
      <c r="C1102" s="55"/>
      <c r="D1102" s="192"/>
      <c r="E1102" s="77"/>
    </row>
    <row r="1103" spans="1:5" ht="15.75" x14ac:dyDescent="0.25">
      <c r="A1103" s="184"/>
      <c r="B1103" s="57"/>
      <c r="C1103" s="55"/>
      <c r="D1103" s="192"/>
      <c r="E1103" s="77"/>
    </row>
    <row r="1104" spans="1:5" ht="15.75" x14ac:dyDescent="0.25">
      <c r="A1104" s="184"/>
      <c r="B1104" s="57"/>
      <c r="C1104" s="55"/>
      <c r="D1104" s="192"/>
      <c r="E1104" s="77"/>
    </row>
    <row r="1105" spans="1:5" ht="15.75" x14ac:dyDescent="0.25">
      <c r="A1105" s="184"/>
      <c r="B1105" s="57"/>
      <c r="C1105" s="55"/>
      <c r="D1105" s="192"/>
      <c r="E1105" s="77"/>
    </row>
    <row r="1106" spans="1:5" ht="15.75" x14ac:dyDescent="0.25">
      <c r="A1106" s="184"/>
      <c r="B1106" s="57"/>
      <c r="C1106" s="55"/>
      <c r="D1106" s="192"/>
      <c r="E1106" s="77"/>
    </row>
    <row r="1107" spans="1:5" ht="15.75" x14ac:dyDescent="0.25">
      <c r="A1107" s="184"/>
      <c r="B1107" s="57"/>
      <c r="C1107" s="55"/>
      <c r="D1107" s="192"/>
      <c r="E1107" s="77"/>
    </row>
    <row r="1108" spans="1:5" ht="15.75" x14ac:dyDescent="0.25">
      <c r="A1108" s="184"/>
      <c r="B1108" s="57"/>
      <c r="C1108" s="55"/>
      <c r="D1108" s="192"/>
      <c r="E1108" s="77"/>
    </row>
    <row r="1109" spans="1:5" ht="15.75" x14ac:dyDescent="0.25">
      <c r="A1109" s="184"/>
      <c r="B1109" s="57"/>
      <c r="C1109" s="55"/>
      <c r="D1109" s="192"/>
      <c r="E1109" s="77"/>
    </row>
    <row r="1110" spans="1:5" ht="15.75" x14ac:dyDescent="0.25">
      <c r="A1110" s="184"/>
      <c r="B1110" s="57"/>
      <c r="C1110" s="55"/>
      <c r="D1110" s="192"/>
      <c r="E1110" s="77"/>
    </row>
    <row r="1111" spans="1:5" ht="15.75" x14ac:dyDescent="0.25">
      <c r="A1111" s="184"/>
      <c r="B1111" s="57"/>
      <c r="C1111" s="55"/>
      <c r="D1111" s="192"/>
      <c r="E1111" s="77"/>
    </row>
    <row r="1112" spans="1:5" ht="15.75" x14ac:dyDescent="0.25">
      <c r="A1112" s="184"/>
      <c r="B1112" s="57"/>
      <c r="C1112" s="55"/>
      <c r="D1112" s="192"/>
      <c r="E1112" s="77"/>
    </row>
    <row r="1113" spans="1:5" ht="15.75" x14ac:dyDescent="0.25">
      <c r="A1113" s="184"/>
      <c r="B1113" s="57"/>
      <c r="C1113" s="55"/>
      <c r="D1113" s="192"/>
      <c r="E1113" s="77"/>
    </row>
    <row r="1114" spans="1:5" ht="15.75" x14ac:dyDescent="0.25">
      <c r="A1114" s="184"/>
      <c r="B1114" s="57"/>
      <c r="C1114" s="55"/>
      <c r="D1114" s="192"/>
      <c r="E1114" s="77"/>
    </row>
    <row r="1115" spans="1:5" ht="15.75" x14ac:dyDescent="0.25">
      <c r="A1115" s="184"/>
      <c r="B1115" s="57"/>
      <c r="C1115" s="55"/>
      <c r="D1115" s="192"/>
      <c r="E1115" s="77"/>
    </row>
    <row r="1116" spans="1:5" ht="15.75" x14ac:dyDescent="0.25">
      <c r="A1116" s="184"/>
      <c r="B1116" s="57"/>
      <c r="C1116" s="55"/>
      <c r="D1116" s="192"/>
      <c r="E1116" s="77"/>
    </row>
    <row r="1117" spans="1:5" ht="15.75" x14ac:dyDescent="0.25">
      <c r="A1117" s="184"/>
      <c r="B1117" s="57"/>
      <c r="C1117" s="55"/>
      <c r="D1117" s="192"/>
      <c r="E1117" s="77"/>
    </row>
    <row r="1118" spans="1:5" ht="15.75" x14ac:dyDescent="0.25">
      <c r="A1118" s="184"/>
      <c r="B1118" s="57"/>
      <c r="C1118" s="55"/>
      <c r="D1118" s="192"/>
      <c r="E1118" s="77"/>
    </row>
    <row r="1119" spans="1:5" ht="15.75" x14ac:dyDescent="0.25">
      <c r="A1119" s="184"/>
      <c r="B1119" s="57"/>
      <c r="C1119" s="55"/>
      <c r="D1119" s="192"/>
      <c r="E1119" s="77"/>
    </row>
    <row r="1120" spans="1:5" ht="15.75" x14ac:dyDescent="0.25">
      <c r="A1120" s="184"/>
      <c r="B1120" s="57"/>
      <c r="C1120" s="55"/>
      <c r="D1120" s="192"/>
      <c r="E1120" s="77"/>
    </row>
    <row r="1121" spans="1:4" ht="15.75" x14ac:dyDescent="0.25">
      <c r="A1121" s="184"/>
      <c r="B1121" s="57"/>
      <c r="C1121" s="55"/>
      <c r="D1121" s="192"/>
    </row>
    <row r="1122" spans="1:4" ht="15.75" x14ac:dyDescent="0.25">
      <c r="A1122" s="184"/>
      <c r="B1122" s="57"/>
      <c r="C1122" s="55"/>
      <c r="D1122" s="192"/>
    </row>
    <row r="1123" spans="1:4" ht="15.75" x14ac:dyDescent="0.25">
      <c r="A1123" s="184"/>
      <c r="B1123" s="57"/>
      <c r="C1123" s="55"/>
      <c r="D1123" s="192"/>
    </row>
    <row r="1124" spans="1:4" ht="15.75" x14ac:dyDescent="0.25">
      <c r="A1124" s="184"/>
      <c r="B1124" s="57"/>
      <c r="C1124" s="55"/>
      <c r="D1124" s="192"/>
    </row>
    <row r="1125" spans="1:4" ht="15.75" x14ac:dyDescent="0.25">
      <c r="A1125" s="184"/>
      <c r="B1125" s="57"/>
      <c r="C1125" s="55"/>
      <c r="D1125" s="192"/>
    </row>
    <row r="1126" spans="1:4" ht="15.75" x14ac:dyDescent="0.25">
      <c r="A1126" s="184"/>
      <c r="B1126" s="57"/>
      <c r="C1126" s="55"/>
      <c r="D1126" s="192"/>
    </row>
    <row r="1127" spans="1:4" ht="15.75" x14ac:dyDescent="0.25">
      <c r="A1127" s="184"/>
      <c r="B1127" s="57"/>
      <c r="C1127" s="55"/>
      <c r="D1127" s="192"/>
    </row>
    <row r="1128" spans="1:4" ht="15.75" x14ac:dyDescent="0.25">
      <c r="A1128" s="184"/>
      <c r="B1128" s="57"/>
      <c r="C1128" s="55"/>
      <c r="D1128" s="192"/>
    </row>
    <row r="1129" spans="1:4" ht="15.75" x14ac:dyDescent="0.25">
      <c r="A1129" s="184"/>
      <c r="B1129" s="57"/>
      <c r="C1129" s="55"/>
      <c r="D1129" s="192"/>
    </row>
    <row r="1130" spans="1:4" ht="15.75" x14ac:dyDescent="0.25">
      <c r="A1130" s="184"/>
      <c r="B1130" s="57"/>
      <c r="C1130" s="55"/>
      <c r="D1130" s="192"/>
    </row>
    <row r="1131" spans="1:4" ht="15.75" x14ac:dyDescent="0.25">
      <c r="A1131" s="184"/>
      <c r="B1131" s="57"/>
      <c r="C1131" s="55"/>
      <c r="D1131" s="192"/>
    </row>
    <row r="1132" spans="1:4" ht="15.75" x14ac:dyDescent="0.25">
      <c r="A1132" s="184"/>
      <c r="B1132" s="57"/>
      <c r="C1132" s="55"/>
      <c r="D1132" s="192"/>
    </row>
    <row r="1133" spans="1:4" ht="15.75" x14ac:dyDescent="0.25">
      <c r="A1133" s="184"/>
      <c r="B1133" s="57"/>
      <c r="C1133" s="55"/>
      <c r="D1133" s="192"/>
    </row>
    <row r="1134" spans="1:4" ht="15.75" x14ac:dyDescent="0.25">
      <c r="A1134" s="184"/>
      <c r="B1134" s="57"/>
      <c r="C1134" s="55"/>
      <c r="D1134" s="192"/>
    </row>
    <row r="1135" spans="1:4" ht="15.75" x14ac:dyDescent="0.25">
      <c r="A1135" s="184"/>
      <c r="B1135" s="57"/>
      <c r="C1135" s="55"/>
      <c r="D1135" s="192"/>
    </row>
    <row r="1136" spans="1:4" ht="15.75" x14ac:dyDescent="0.25">
      <c r="A1136" s="184"/>
      <c r="B1136" s="57"/>
      <c r="C1136" s="55"/>
      <c r="D1136" s="192"/>
    </row>
    <row r="1137" spans="1:4" ht="15.75" x14ac:dyDescent="0.25">
      <c r="A1137" s="184"/>
      <c r="B1137" s="57"/>
      <c r="C1137" s="55"/>
      <c r="D1137" s="192"/>
    </row>
    <row r="1138" spans="1:4" ht="15.75" x14ac:dyDescent="0.25">
      <c r="A1138" s="184"/>
      <c r="B1138" s="57"/>
      <c r="C1138" s="55"/>
      <c r="D1138" s="192"/>
    </row>
    <row r="1139" spans="1:4" ht="15.75" x14ac:dyDescent="0.25">
      <c r="A1139" s="184"/>
      <c r="B1139" s="55"/>
      <c r="C1139" s="55"/>
      <c r="D1139" s="192"/>
    </row>
    <row r="1140" spans="1:4" ht="15.75" x14ac:dyDescent="0.25">
      <c r="A1140" s="184"/>
      <c r="B1140" s="55"/>
      <c r="C1140" s="55"/>
      <c r="D1140" s="192"/>
    </row>
    <row r="1141" spans="1:4" ht="15.75" x14ac:dyDescent="0.25">
      <c r="A1141" s="184"/>
      <c r="B1141" s="55"/>
      <c r="C1141" s="55"/>
      <c r="D1141" s="192"/>
    </row>
    <row r="1142" spans="1:4" ht="15.75" x14ac:dyDescent="0.25">
      <c r="A1142" s="184"/>
      <c r="B1142" s="55"/>
      <c r="C1142" s="55"/>
      <c r="D1142" s="192"/>
    </row>
    <row r="1143" spans="1:4" ht="15.75" x14ac:dyDescent="0.25">
      <c r="A1143" s="184"/>
      <c r="B1143" s="55"/>
      <c r="C1143" s="55"/>
      <c r="D1143" s="192"/>
    </row>
    <row r="1144" spans="1:4" ht="15.75" x14ac:dyDescent="0.25">
      <c r="A1144" s="184"/>
      <c r="B1144" s="55"/>
      <c r="C1144" s="55"/>
      <c r="D1144" s="192"/>
    </row>
    <row r="1145" spans="1:4" ht="15.75" x14ac:dyDescent="0.25">
      <c r="A1145" s="184"/>
      <c r="B1145" s="55"/>
      <c r="C1145" s="55"/>
      <c r="D1145" s="192"/>
    </row>
    <row r="1146" spans="1:4" ht="15.75" x14ac:dyDescent="0.25">
      <c r="A1146" s="184"/>
      <c r="B1146" s="55"/>
      <c r="C1146" s="55"/>
      <c r="D1146" s="192"/>
    </row>
    <row r="1147" spans="1:4" ht="15.75" x14ac:dyDescent="0.25">
      <c r="A1147" s="184"/>
      <c r="B1147" s="58"/>
      <c r="C1147" s="58"/>
      <c r="D1147" s="193"/>
    </row>
    <row r="1148" spans="1:4" x14ac:dyDescent="0.2">
      <c r="A1148" s="185"/>
      <c r="B1148" s="58"/>
      <c r="C1148" s="58"/>
      <c r="D1148" s="193"/>
    </row>
    <row r="1149" spans="1:4" x14ac:dyDescent="0.2">
      <c r="A1149" s="185"/>
      <c r="B1149" s="58"/>
      <c r="C1149" s="58"/>
      <c r="D1149" s="193"/>
    </row>
    <row r="1150" spans="1:4" x14ac:dyDescent="0.2">
      <c r="A1150" s="185"/>
      <c r="B1150" s="58"/>
      <c r="C1150" s="58"/>
      <c r="D1150" s="193"/>
    </row>
    <row r="1151" spans="1:4" x14ac:dyDescent="0.2">
      <c r="A1151" s="185"/>
      <c r="B1151" s="58"/>
      <c r="C1151" s="58"/>
      <c r="D1151" s="193"/>
    </row>
    <row r="1152" spans="1:4" x14ac:dyDescent="0.2">
      <c r="A1152" s="185"/>
      <c r="B1152" s="58"/>
      <c r="C1152" s="58"/>
      <c r="D1152" s="193"/>
    </row>
    <row r="1153" spans="1:4" x14ac:dyDescent="0.2">
      <c r="A1153" s="185"/>
      <c r="B1153" s="58"/>
      <c r="C1153" s="58"/>
      <c r="D1153" s="193"/>
    </row>
    <row r="1154" spans="1:4" x14ac:dyDescent="0.2">
      <c r="A1154" s="185"/>
      <c r="B1154" s="58"/>
      <c r="C1154" s="58"/>
      <c r="D1154" s="193"/>
    </row>
    <row r="1155" spans="1:4" x14ac:dyDescent="0.2">
      <c r="A1155" s="185"/>
      <c r="B1155" s="58"/>
      <c r="C1155" s="58"/>
      <c r="D1155" s="193"/>
    </row>
    <row r="1156" spans="1:4" x14ac:dyDescent="0.2">
      <c r="A1156" s="185"/>
      <c r="B1156" s="58"/>
      <c r="C1156" s="58"/>
      <c r="D1156" s="193"/>
    </row>
    <row r="1157" spans="1:4" x14ac:dyDescent="0.2">
      <c r="A1157" s="185"/>
      <c r="B1157" s="58"/>
      <c r="C1157" s="58"/>
      <c r="D1157" s="193"/>
    </row>
    <row r="1158" spans="1:4" x14ac:dyDescent="0.2">
      <c r="A1158" s="185"/>
      <c r="B1158" s="58"/>
      <c r="C1158" s="58"/>
      <c r="D1158" s="193"/>
    </row>
    <row r="1159" spans="1:4" x14ac:dyDescent="0.2">
      <c r="A1159" s="185"/>
      <c r="B1159" s="58"/>
      <c r="C1159" s="58"/>
      <c r="D1159" s="193"/>
    </row>
    <row r="1160" spans="1:4" x14ac:dyDescent="0.2">
      <c r="A1160" s="185"/>
      <c r="B1160" s="58"/>
      <c r="C1160" s="58"/>
      <c r="D1160" s="193"/>
    </row>
    <row r="1161" spans="1:4" x14ac:dyDescent="0.2">
      <c r="A1161" s="185"/>
      <c r="B1161" s="58"/>
      <c r="C1161" s="58"/>
      <c r="D1161" s="193"/>
    </row>
    <row r="1162" spans="1:4" x14ac:dyDescent="0.2">
      <c r="A1162" s="185"/>
      <c r="B1162" s="58"/>
      <c r="C1162" s="58"/>
      <c r="D1162" s="193"/>
    </row>
    <row r="1163" spans="1:4" x14ac:dyDescent="0.2">
      <c r="A1163" s="185"/>
      <c r="B1163" s="58"/>
      <c r="C1163" s="58"/>
      <c r="D1163" s="193"/>
    </row>
    <row r="1164" spans="1:4" x14ac:dyDescent="0.2">
      <c r="A1164" s="185"/>
      <c r="B1164" s="58"/>
      <c r="C1164" s="58"/>
      <c r="D1164" s="193"/>
    </row>
    <row r="1165" spans="1:4" x14ac:dyDescent="0.2">
      <c r="A1165" s="185"/>
      <c r="B1165" s="58"/>
      <c r="C1165" s="58"/>
      <c r="D1165" s="193"/>
    </row>
    <row r="1166" spans="1:4" x14ac:dyDescent="0.2">
      <c r="A1166" s="185"/>
      <c r="B1166" s="58"/>
      <c r="C1166" s="58"/>
      <c r="D1166" s="193"/>
    </row>
    <row r="1167" spans="1:4" x14ac:dyDescent="0.2">
      <c r="A1167" s="185"/>
      <c r="B1167" s="58"/>
      <c r="C1167" s="58"/>
      <c r="D1167" s="193"/>
    </row>
    <row r="1168" spans="1:4" x14ac:dyDescent="0.2">
      <c r="A1168" s="185"/>
      <c r="B1168" s="58"/>
      <c r="C1168" s="58"/>
      <c r="D1168" s="193"/>
    </row>
    <row r="1169" spans="1:4" x14ac:dyDescent="0.2">
      <c r="A1169" s="185"/>
      <c r="B1169" s="58"/>
      <c r="C1169" s="58"/>
      <c r="D1169" s="193"/>
    </row>
    <row r="1170" spans="1:4" x14ac:dyDescent="0.2">
      <c r="A1170" s="185"/>
      <c r="B1170" s="58"/>
      <c r="C1170" s="58"/>
      <c r="D1170" s="193"/>
    </row>
    <row r="1171" spans="1:4" x14ac:dyDescent="0.2">
      <c r="A1171" s="185"/>
      <c r="B1171" s="58"/>
      <c r="C1171" s="58"/>
      <c r="D1171" s="193"/>
    </row>
    <row r="1172" spans="1:4" x14ac:dyDescent="0.2">
      <c r="A1172" s="185"/>
      <c r="B1172" s="58"/>
      <c r="C1172" s="58"/>
      <c r="D1172" s="193"/>
    </row>
    <row r="1173" spans="1:4" x14ac:dyDescent="0.2">
      <c r="A1173" s="185"/>
      <c r="B1173" s="58"/>
      <c r="C1173" s="58"/>
      <c r="D1173" s="193"/>
    </row>
    <row r="1174" spans="1:4" x14ac:dyDescent="0.2">
      <c r="A1174" s="185"/>
      <c r="B1174" s="58"/>
      <c r="C1174" s="58"/>
      <c r="D1174" s="193"/>
    </row>
    <row r="1175" spans="1:4" x14ac:dyDescent="0.2">
      <c r="A1175" s="185"/>
      <c r="B1175" s="58"/>
      <c r="C1175" s="58"/>
      <c r="D1175" s="193"/>
    </row>
    <row r="1176" spans="1:4" x14ac:dyDescent="0.2">
      <c r="A1176" s="185"/>
      <c r="B1176" s="58"/>
      <c r="C1176" s="58"/>
      <c r="D1176" s="193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7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2048"/>
  <sheetViews>
    <sheetView tabSelected="1" zoomScale="70" zoomScaleNormal="70" workbookViewId="0">
      <pane xSplit="1" ySplit="8" topLeftCell="B255" activePane="bottomRight" state="frozen"/>
      <selection pane="topRight" activeCell="B1" sqref="B1"/>
      <selection pane="bottomLeft" activeCell="A9" sqref="A9"/>
      <selection pane="bottomRight" activeCell="A8" sqref="A8:G267"/>
    </sheetView>
  </sheetViews>
  <sheetFormatPr defaultRowHeight="20.25" outlineLevelRow="2" x14ac:dyDescent="0.3"/>
  <cols>
    <col min="1" max="1" width="63.42578125" style="186" customWidth="1"/>
    <col min="2" max="2" width="10.28515625" customWidth="1"/>
    <col min="5" max="5" width="22.85546875" customWidth="1"/>
    <col min="7" max="7" width="34.42578125" style="142" customWidth="1"/>
    <col min="8" max="8" width="21" style="136" hidden="1" customWidth="1"/>
    <col min="9" max="9" width="21" style="137" hidden="1" customWidth="1"/>
    <col min="10" max="10" width="21" style="136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5" hidden="1" customWidth="1"/>
    <col min="38" max="39" width="9.140625" hidden="1" customWidth="1"/>
    <col min="40" max="40" width="19.7109375" style="145" hidden="1" customWidth="1"/>
    <col min="41" max="41" width="15.7109375" style="145" hidden="1" customWidth="1"/>
    <col min="42" max="42" width="17.85546875" style="146" hidden="1" customWidth="1"/>
    <col min="43" max="43" width="21.28515625" style="146" hidden="1" customWidth="1"/>
    <col min="44" max="44" width="16.28515625" style="187" hidden="1" customWidth="1"/>
    <col min="45" max="46" width="16.7109375" style="187" hidden="1" customWidth="1"/>
    <col min="47" max="47" width="14.28515625" hidden="1" customWidth="1"/>
    <col min="48" max="48" width="15.42578125" style="187" hidden="1" customWidth="1"/>
    <col min="49" max="49" width="15.85546875" style="96" hidden="1" customWidth="1"/>
    <col min="50" max="50" width="18.85546875" style="96" hidden="1" customWidth="1"/>
    <col min="51" max="52" width="20.5703125" style="218" hidden="1" customWidth="1"/>
    <col min="53" max="53" width="15.85546875" style="187" hidden="1" customWidth="1"/>
    <col min="54" max="54" width="18.85546875" style="187" hidden="1" customWidth="1"/>
    <col min="55" max="55" width="17.5703125" style="218" hidden="1" customWidth="1"/>
    <col min="56" max="56" width="17.7109375" style="218" hidden="1" customWidth="1"/>
    <col min="57" max="57" width="17.28515625" style="218" hidden="1" customWidth="1"/>
    <col min="58" max="58" width="16.85546875" hidden="1" customWidth="1"/>
    <col min="59" max="59" width="13" style="225" hidden="1" customWidth="1"/>
    <col min="60" max="60" width="14.42578125" style="225" hidden="1" customWidth="1"/>
    <col min="61" max="61" width="17" style="225" hidden="1" customWidth="1"/>
    <col min="62" max="62" width="17.42578125" style="187" hidden="1" customWidth="1"/>
    <col min="63" max="63" width="21.28515625" style="218" hidden="1" customWidth="1"/>
    <col min="64" max="64" width="17.5703125" style="187" hidden="1" customWidth="1"/>
    <col min="65" max="65" width="17" style="95" hidden="1" customWidth="1"/>
    <col min="66" max="66" width="18.42578125" style="229" hidden="1" customWidth="1"/>
    <col min="67" max="67" width="21.28515625" style="230" hidden="1" customWidth="1"/>
    <col min="68" max="68" width="14" style="231" hidden="1" customWidth="1"/>
    <col min="69" max="69" width="22.85546875" hidden="1" customWidth="1"/>
    <col min="70" max="71" width="9.140625" hidden="1" customWidth="1"/>
    <col min="72" max="73" width="22.42578125" style="146" hidden="1" customWidth="1"/>
    <col min="74" max="75" width="9.140625" hidden="1" customWidth="1"/>
    <col min="76" max="76" width="16.5703125" style="146" hidden="1" customWidth="1"/>
    <col min="77" max="77" width="18.140625" style="146" hidden="1" customWidth="1"/>
    <col min="78" max="78" width="13.140625" hidden="1" customWidth="1"/>
    <col min="79" max="79" width="22.85546875" style="218" hidden="1" customWidth="1"/>
    <col min="80" max="80" width="20.85546875" style="218" hidden="1" customWidth="1"/>
    <col min="81" max="81" width="27.28515625" style="237" hidden="1" customWidth="1"/>
    <col min="82" max="82" width="18.5703125" style="218" hidden="1" customWidth="1"/>
    <col min="83" max="83" width="20.85546875" style="187" hidden="1" customWidth="1"/>
    <col min="84" max="84" width="25.85546875" style="187" hidden="1" customWidth="1"/>
    <col min="85" max="85" width="16.28515625" style="187" hidden="1" customWidth="1"/>
    <col min="86" max="86" width="23.28515625" style="250" hidden="1" customWidth="1"/>
    <col min="87" max="87" width="20.7109375" style="187" hidden="1" customWidth="1"/>
    <col min="88" max="88" width="19" style="187" hidden="1" customWidth="1"/>
    <col min="89" max="89" width="16.28515625" style="187" hidden="1" customWidth="1"/>
    <col min="90" max="90" width="17.140625" style="187" hidden="1" customWidth="1"/>
    <col min="91" max="92" width="9.140625" hidden="1" customWidth="1"/>
    <col min="93" max="93" width="20.7109375" style="251" hidden="1" customWidth="1"/>
    <col min="94" max="94" width="23.85546875" style="251" hidden="1" customWidth="1"/>
    <col min="95" max="95" width="20" style="94" hidden="1" customWidth="1"/>
    <col min="96" max="96" width="20.5703125" style="94" hidden="1" customWidth="1"/>
    <col min="97" max="97" width="20.42578125" style="255" hidden="1" customWidth="1"/>
    <col min="98" max="98" width="26.140625" style="250" hidden="1" customWidth="1"/>
    <col min="99" max="99" width="22.42578125" style="250" hidden="1" customWidth="1"/>
    <col min="100" max="100" width="20.28515625" style="259" hidden="1" customWidth="1"/>
    <col min="101" max="101" width="19.28515625" style="259" hidden="1" customWidth="1"/>
    <col min="102" max="102" width="18.85546875" style="260" hidden="1" customWidth="1"/>
    <col min="103" max="103" width="23" style="187" hidden="1" customWidth="1"/>
    <col min="104" max="104" width="17.7109375" style="187" hidden="1" customWidth="1"/>
    <col min="105" max="105" width="23.85546875" style="260" hidden="1" customWidth="1"/>
    <col min="106" max="106" width="19.5703125" style="187" hidden="1" customWidth="1"/>
    <col min="107" max="107" width="20" style="187" hidden="1" customWidth="1"/>
    <col min="108" max="108" width="20.140625" style="187" hidden="1" customWidth="1"/>
    <col min="109" max="109" width="23.28515625" style="187" hidden="1" customWidth="1"/>
    <col min="110" max="111" width="23.7109375" style="187" hidden="1" customWidth="1"/>
    <col min="112" max="112" width="21.5703125" style="187" hidden="1" customWidth="1"/>
    <col min="113" max="113" width="25.42578125" style="260" hidden="1" customWidth="1"/>
    <col min="114" max="114" width="16.7109375" style="187" hidden="1" customWidth="1"/>
    <col min="115" max="116" width="17.7109375" style="260" hidden="1" customWidth="1"/>
    <col min="117" max="117" width="20" style="187" hidden="1" customWidth="1"/>
    <col min="118" max="118" width="20.7109375" style="260" hidden="1" customWidth="1"/>
  </cols>
  <sheetData>
    <row r="1" spans="1:117" x14ac:dyDescent="0.3">
      <c r="A1" s="274" t="s">
        <v>669</v>
      </c>
      <c r="B1" s="274"/>
      <c r="C1" s="274"/>
      <c r="D1" s="274"/>
      <c r="E1" s="274"/>
      <c r="F1" s="274"/>
      <c r="G1" s="274"/>
      <c r="H1" s="113"/>
      <c r="I1" s="113"/>
      <c r="J1" s="113"/>
      <c r="BQ1" s="235">
        <f>BM1570+BN1570+BO1570+BP1570</f>
        <v>1059843.7920000001</v>
      </c>
    </row>
    <row r="2" spans="1:117" x14ac:dyDescent="0.3">
      <c r="A2" s="275" t="s">
        <v>414</v>
      </c>
      <c r="B2" s="275"/>
      <c r="C2" s="275"/>
      <c r="D2" s="275"/>
      <c r="E2" s="275"/>
      <c r="F2" s="275"/>
      <c r="G2" s="275"/>
      <c r="H2" s="114"/>
      <c r="I2" s="114"/>
      <c r="J2" s="114"/>
    </row>
    <row r="3" spans="1:117" x14ac:dyDescent="0.3">
      <c r="A3" s="275" t="s">
        <v>415</v>
      </c>
      <c r="B3" s="275"/>
      <c r="C3" s="275"/>
      <c r="D3" s="275"/>
      <c r="E3" s="275"/>
      <c r="F3" s="275"/>
      <c r="G3" s="275"/>
      <c r="H3" s="114"/>
      <c r="I3" s="114"/>
      <c r="J3" s="114"/>
    </row>
    <row r="4" spans="1:117" x14ac:dyDescent="0.3">
      <c r="A4" s="278" t="s">
        <v>1178</v>
      </c>
      <c r="B4" s="277"/>
      <c r="C4" s="277"/>
      <c r="D4" s="277"/>
      <c r="E4" s="277"/>
      <c r="F4" s="277"/>
      <c r="G4" s="277"/>
      <c r="H4" s="115"/>
      <c r="I4" s="115"/>
      <c r="J4" s="115"/>
    </row>
    <row r="5" spans="1:117" ht="29.25" customHeight="1" x14ac:dyDescent="0.3">
      <c r="H5" s="116"/>
      <c r="I5" s="116"/>
      <c r="J5" s="116"/>
    </row>
    <row r="6" spans="1:117" x14ac:dyDescent="0.3">
      <c r="A6" s="276" t="s">
        <v>107</v>
      </c>
      <c r="B6" s="276"/>
      <c r="C6" s="276"/>
      <c r="D6" s="276"/>
      <c r="E6" s="276"/>
      <c r="F6" s="276"/>
      <c r="G6" s="276"/>
      <c r="H6" s="117"/>
      <c r="I6" s="117"/>
      <c r="J6" s="117"/>
    </row>
    <row r="7" spans="1:117" ht="24" customHeight="1" x14ac:dyDescent="0.3">
      <c r="A7" s="196"/>
      <c r="B7" s="91"/>
      <c r="C7" s="91"/>
      <c r="D7" s="91"/>
      <c r="E7" s="91"/>
      <c r="F7" s="91"/>
      <c r="H7" s="116"/>
      <c r="I7" s="116"/>
      <c r="J7" s="116"/>
      <c r="AS7" s="195" t="s">
        <v>747</v>
      </c>
      <c r="CO7" s="251" t="s">
        <v>537</v>
      </c>
      <c r="CP7" s="251" t="s">
        <v>642</v>
      </c>
    </row>
    <row r="8" spans="1:117" ht="93.75" x14ac:dyDescent="0.3">
      <c r="A8" s="288" t="s">
        <v>46</v>
      </c>
      <c r="B8" s="289" t="s">
        <v>108</v>
      </c>
      <c r="C8" s="290" t="s">
        <v>770</v>
      </c>
      <c r="D8" s="290" t="s">
        <v>771</v>
      </c>
      <c r="E8" s="290" t="s">
        <v>47</v>
      </c>
      <c r="F8" s="290" t="s">
        <v>111</v>
      </c>
      <c r="G8" s="291" t="s">
        <v>954</v>
      </c>
      <c r="H8" s="118" t="s">
        <v>642</v>
      </c>
      <c r="I8" s="119" t="s">
        <v>679</v>
      </c>
      <c r="J8" s="118" t="s">
        <v>680</v>
      </c>
      <c r="K8" s="93" t="s">
        <v>537</v>
      </c>
      <c r="L8" s="93" t="s">
        <v>538</v>
      </c>
      <c r="M8" s="93" t="s">
        <v>539</v>
      </c>
      <c r="N8" s="93" t="s">
        <v>539</v>
      </c>
      <c r="O8" s="93" t="s">
        <v>537</v>
      </c>
      <c r="T8" s="103" t="s">
        <v>607</v>
      </c>
      <c r="U8" t="s">
        <v>608</v>
      </c>
      <c r="W8" t="s">
        <v>630</v>
      </c>
      <c r="X8" t="s">
        <v>537</v>
      </c>
      <c r="Y8" t="s">
        <v>642</v>
      </c>
      <c r="Z8" t="s">
        <v>538</v>
      </c>
      <c r="AE8" t="s">
        <v>653</v>
      </c>
      <c r="AF8" t="s">
        <v>538</v>
      </c>
      <c r="AG8" s="109" t="s">
        <v>667</v>
      </c>
      <c r="AH8" s="109" t="s">
        <v>668</v>
      </c>
      <c r="AI8" s="109" t="s">
        <v>663</v>
      </c>
      <c r="AJ8" s="109"/>
      <c r="AN8" s="145" t="s">
        <v>642</v>
      </c>
      <c r="AO8" s="145" t="s">
        <v>679</v>
      </c>
      <c r="AP8" s="146" t="s">
        <v>537</v>
      </c>
      <c r="AQ8" s="146" t="s">
        <v>642</v>
      </c>
      <c r="AR8" s="187" t="s">
        <v>538</v>
      </c>
      <c r="AS8" s="146" t="s">
        <v>642</v>
      </c>
      <c r="AT8" s="146" t="s">
        <v>679</v>
      </c>
      <c r="AW8" s="96" t="s">
        <v>757</v>
      </c>
      <c r="AX8" s="96" t="s">
        <v>642</v>
      </c>
      <c r="AY8" s="223" t="s">
        <v>768</v>
      </c>
      <c r="AZ8" s="219" t="s">
        <v>761</v>
      </c>
      <c r="BA8" s="222" t="s">
        <v>767</v>
      </c>
      <c r="BB8" s="222"/>
      <c r="BC8" s="219" t="s">
        <v>537</v>
      </c>
      <c r="BD8" s="219" t="s">
        <v>784</v>
      </c>
      <c r="BE8" s="219" t="s">
        <v>538</v>
      </c>
      <c r="BG8" s="226" t="s">
        <v>537</v>
      </c>
      <c r="BH8" s="226" t="s">
        <v>642</v>
      </c>
      <c r="BI8" s="226" t="s">
        <v>538</v>
      </c>
      <c r="BK8" s="218" t="s">
        <v>795</v>
      </c>
      <c r="BL8" s="228" t="s">
        <v>799</v>
      </c>
      <c r="BM8" s="95" t="s">
        <v>800</v>
      </c>
      <c r="BN8" s="233" t="s">
        <v>802</v>
      </c>
      <c r="BO8" s="230" t="s">
        <v>537</v>
      </c>
      <c r="BP8" s="231" t="s">
        <v>680</v>
      </c>
      <c r="BT8" s="146" t="s">
        <v>537</v>
      </c>
      <c r="BU8" s="146" t="s">
        <v>642</v>
      </c>
      <c r="BX8" s="146" t="s">
        <v>642</v>
      </c>
      <c r="BY8" s="146" t="s">
        <v>537</v>
      </c>
      <c r="CA8" s="219" t="s">
        <v>537</v>
      </c>
      <c r="CB8" s="219" t="s">
        <v>642</v>
      </c>
      <c r="CC8" s="237" t="s">
        <v>913</v>
      </c>
      <c r="CE8" s="146" t="s">
        <v>926</v>
      </c>
      <c r="CF8" s="146" t="s">
        <v>927</v>
      </c>
      <c r="CI8" s="219" t="s">
        <v>537</v>
      </c>
      <c r="CJ8" s="219" t="s">
        <v>642</v>
      </c>
      <c r="CQ8" s="252" t="s">
        <v>957</v>
      </c>
      <c r="CR8" s="253" t="s">
        <v>958</v>
      </c>
      <c r="CS8" s="256" t="s">
        <v>971</v>
      </c>
      <c r="CT8" s="258" t="s">
        <v>926</v>
      </c>
      <c r="CU8" s="258" t="s">
        <v>980</v>
      </c>
      <c r="CV8" s="259" t="s">
        <v>642</v>
      </c>
      <c r="CW8" s="259" t="s">
        <v>537</v>
      </c>
      <c r="DB8" s="146" t="s">
        <v>537</v>
      </c>
      <c r="DC8" s="187" t="s">
        <v>642</v>
      </c>
      <c r="DD8" s="187" t="s">
        <v>538</v>
      </c>
      <c r="DE8" s="187" t="s">
        <v>1154</v>
      </c>
      <c r="DF8" s="187" t="s">
        <v>642</v>
      </c>
      <c r="DG8" s="187" t="s">
        <v>537</v>
      </c>
      <c r="DI8" s="260" t="s">
        <v>1169</v>
      </c>
      <c r="DM8" s="146" t="s">
        <v>1175</v>
      </c>
    </row>
    <row r="9" spans="1:117" x14ac:dyDescent="0.3">
      <c r="A9" s="197" t="s">
        <v>48</v>
      </c>
      <c r="B9" s="7" t="s">
        <v>50</v>
      </c>
      <c r="C9" s="7" t="s">
        <v>112</v>
      </c>
      <c r="D9" s="7" t="s">
        <v>112</v>
      </c>
      <c r="E9" s="7" t="s">
        <v>49</v>
      </c>
      <c r="F9" s="7" t="s">
        <v>50</v>
      </c>
      <c r="G9" s="64">
        <f>G10+G19+G383+G432+G492+G1561-0.011</f>
        <v>1891985.9730000002</v>
      </c>
      <c r="H9" s="111"/>
      <c r="I9" s="112"/>
      <c r="J9" s="111"/>
      <c r="K9" s="76"/>
      <c r="L9" s="75"/>
      <c r="M9" s="75"/>
    </row>
    <row r="10" spans="1:117" ht="37.5" hidden="1" x14ac:dyDescent="0.3">
      <c r="A10" s="198" t="s">
        <v>347</v>
      </c>
      <c r="B10" s="16" t="s">
        <v>113</v>
      </c>
      <c r="C10" s="9" t="s">
        <v>112</v>
      </c>
      <c r="D10" s="9" t="s">
        <v>112</v>
      </c>
      <c r="E10" s="9" t="s">
        <v>49</v>
      </c>
      <c r="F10" s="9" t="s">
        <v>50</v>
      </c>
      <c r="G10" s="67">
        <f>G11</f>
        <v>0</v>
      </c>
      <c r="H10" s="111"/>
      <c r="I10" s="112"/>
      <c r="J10" s="111"/>
      <c r="K10" s="76"/>
      <c r="L10" s="75"/>
      <c r="M10" s="75"/>
    </row>
    <row r="11" spans="1:117" hidden="1" x14ac:dyDescent="0.3">
      <c r="A11" s="197" t="s">
        <v>114</v>
      </c>
      <c r="B11" s="10">
        <v>903</v>
      </c>
      <c r="C11" s="7" t="s">
        <v>115</v>
      </c>
      <c r="D11" s="7" t="s">
        <v>112</v>
      </c>
      <c r="E11" s="7" t="s">
        <v>49</v>
      </c>
      <c r="F11" s="7" t="s">
        <v>50</v>
      </c>
      <c r="G11" s="64">
        <f>G12</f>
        <v>0</v>
      </c>
      <c r="H11" s="111"/>
      <c r="I11" s="112"/>
      <c r="J11" s="111"/>
      <c r="K11" s="76"/>
      <c r="L11" s="75"/>
      <c r="M11" s="75"/>
    </row>
    <row r="12" spans="1:117" ht="56.25" hidden="1" x14ac:dyDescent="0.3">
      <c r="A12" s="150" t="s">
        <v>118</v>
      </c>
      <c r="B12" s="10">
        <v>903</v>
      </c>
      <c r="C12" s="7" t="s">
        <v>115</v>
      </c>
      <c r="D12" s="7" t="s">
        <v>119</v>
      </c>
      <c r="E12" s="7" t="s">
        <v>49</v>
      </c>
      <c r="F12" s="17" t="s">
        <v>50</v>
      </c>
      <c r="G12" s="64">
        <f>G13</f>
        <v>0</v>
      </c>
      <c r="H12" s="111"/>
      <c r="I12" s="112"/>
      <c r="J12" s="111"/>
      <c r="K12" s="76"/>
      <c r="L12" s="75"/>
      <c r="M12" s="75"/>
      <c r="AG12" s="75"/>
      <c r="AH12" s="75"/>
    </row>
    <row r="13" spans="1:117" ht="57" hidden="1" customHeight="1" x14ac:dyDescent="0.3">
      <c r="A13" s="151" t="s">
        <v>413</v>
      </c>
      <c r="B13" s="11">
        <v>903</v>
      </c>
      <c r="C13" s="12" t="s">
        <v>115</v>
      </c>
      <c r="D13" s="12" t="s">
        <v>119</v>
      </c>
      <c r="E13" s="34" t="s">
        <v>397</v>
      </c>
      <c r="F13" s="12" t="s">
        <v>50</v>
      </c>
      <c r="G13" s="53">
        <f>G14</f>
        <v>0</v>
      </c>
      <c r="H13" s="111"/>
      <c r="I13" s="112"/>
      <c r="J13" s="111"/>
      <c r="K13" s="76"/>
      <c r="L13" s="75"/>
      <c r="M13" s="75"/>
      <c r="AG13" s="75"/>
      <c r="AH13" s="75"/>
    </row>
    <row r="14" spans="1:117" ht="57" hidden="1" customHeight="1" x14ac:dyDescent="0.3">
      <c r="A14" s="138" t="s">
        <v>103</v>
      </c>
      <c r="B14" s="11">
        <v>903</v>
      </c>
      <c r="C14" s="12" t="s">
        <v>115</v>
      </c>
      <c r="D14" s="12" t="s">
        <v>119</v>
      </c>
      <c r="E14" s="34" t="s">
        <v>503</v>
      </c>
      <c r="F14" s="12" t="s">
        <v>50</v>
      </c>
      <c r="G14" s="53">
        <f>G15+G17</f>
        <v>0</v>
      </c>
      <c r="H14" s="111"/>
      <c r="I14" s="112"/>
      <c r="J14" s="111"/>
      <c r="K14" s="76"/>
      <c r="L14" s="75"/>
      <c r="M14" s="75"/>
      <c r="AG14" s="75"/>
      <c r="AH14" s="75"/>
    </row>
    <row r="15" spans="1:117" ht="37.5" hidden="1" x14ac:dyDescent="0.3">
      <c r="A15" s="138" t="s">
        <v>105</v>
      </c>
      <c r="B15" s="11">
        <v>903</v>
      </c>
      <c r="C15" s="12" t="s">
        <v>115</v>
      </c>
      <c r="D15" s="12" t="s">
        <v>119</v>
      </c>
      <c r="E15" s="13" t="s">
        <v>398</v>
      </c>
      <c r="F15" s="13" t="s">
        <v>50</v>
      </c>
      <c r="G15" s="53">
        <f>G16</f>
        <v>0</v>
      </c>
      <c r="H15" s="111"/>
      <c r="I15" s="112"/>
      <c r="J15" s="111"/>
      <c r="K15" s="76"/>
      <c r="L15" s="75"/>
      <c r="M15" s="75"/>
      <c r="AG15" s="75"/>
      <c r="AH15" s="75"/>
    </row>
    <row r="16" spans="1:117" ht="94.5" hidden="1" customHeight="1" x14ac:dyDescent="0.3">
      <c r="A16" s="138" t="s">
        <v>56</v>
      </c>
      <c r="B16" s="11">
        <v>903</v>
      </c>
      <c r="C16" s="12" t="s">
        <v>115</v>
      </c>
      <c r="D16" s="12" t="s">
        <v>119</v>
      </c>
      <c r="E16" s="13" t="s">
        <v>398</v>
      </c>
      <c r="F16" s="13" t="s">
        <v>57</v>
      </c>
      <c r="G16" s="53">
        <v>0</v>
      </c>
      <c r="H16" s="111"/>
      <c r="I16" s="112"/>
      <c r="J16" s="111"/>
      <c r="K16" s="76"/>
      <c r="L16" s="75"/>
      <c r="M16" s="75"/>
      <c r="AG16" s="75"/>
      <c r="AH16" s="75"/>
    </row>
    <row r="17" spans="1:118" ht="47.25" hidden="1" customHeight="1" x14ac:dyDescent="0.3">
      <c r="A17" s="157" t="s">
        <v>374</v>
      </c>
      <c r="B17" s="11">
        <v>903</v>
      </c>
      <c r="C17" s="12" t="s">
        <v>115</v>
      </c>
      <c r="D17" s="12" t="s">
        <v>119</v>
      </c>
      <c r="E17" s="13" t="s">
        <v>517</v>
      </c>
      <c r="F17" s="13" t="s">
        <v>50</v>
      </c>
      <c r="G17" s="53">
        <f>G18</f>
        <v>0</v>
      </c>
      <c r="H17" s="111"/>
      <c r="I17" s="112"/>
      <c r="J17" s="111"/>
      <c r="K17" s="76"/>
      <c r="L17" s="75"/>
      <c r="M17" s="75"/>
      <c r="AG17" s="75"/>
      <c r="AH17" s="75"/>
    </row>
    <row r="18" spans="1:118" ht="94.5" hidden="1" customHeight="1" x14ac:dyDescent="0.3">
      <c r="A18" s="138" t="s">
        <v>56</v>
      </c>
      <c r="B18" s="11">
        <v>903</v>
      </c>
      <c r="C18" s="12" t="s">
        <v>115</v>
      </c>
      <c r="D18" s="12" t="s">
        <v>119</v>
      </c>
      <c r="E18" s="13" t="s">
        <v>517</v>
      </c>
      <c r="F18" s="13" t="s">
        <v>57</v>
      </c>
      <c r="G18" s="53">
        <v>0</v>
      </c>
      <c r="H18" s="111"/>
      <c r="I18" s="112"/>
      <c r="J18" s="111"/>
      <c r="K18" s="76"/>
      <c r="L18" s="75"/>
      <c r="M18" s="75"/>
      <c r="AG18" s="75">
        <v>85</v>
      </c>
      <c r="AH18" s="75"/>
    </row>
    <row r="19" spans="1:118" ht="56.25" x14ac:dyDescent="0.3">
      <c r="A19" s="198" t="s">
        <v>691</v>
      </c>
      <c r="B19" s="8">
        <v>905</v>
      </c>
      <c r="C19" s="16" t="s">
        <v>112</v>
      </c>
      <c r="D19" s="16" t="s">
        <v>112</v>
      </c>
      <c r="E19" s="16" t="s">
        <v>49</v>
      </c>
      <c r="F19" s="16" t="s">
        <v>50</v>
      </c>
      <c r="G19" s="67">
        <f>G20+G38+G312+G325+G376</f>
        <v>737766.75524000009</v>
      </c>
      <c r="H19" s="111"/>
      <c r="I19" s="112"/>
      <c r="J19" s="111"/>
      <c r="K19" s="76"/>
      <c r="L19" s="75"/>
      <c r="M19" s="75"/>
      <c r="AG19" s="75"/>
      <c r="AH19" s="75"/>
    </row>
    <row r="20" spans="1:118" x14ac:dyDescent="0.3">
      <c r="A20" s="197" t="s">
        <v>114</v>
      </c>
      <c r="B20" s="10">
        <v>905</v>
      </c>
      <c r="C20" s="7" t="s">
        <v>115</v>
      </c>
      <c r="D20" s="7" t="s">
        <v>112</v>
      </c>
      <c r="E20" s="7" t="s">
        <v>49</v>
      </c>
      <c r="F20" s="7" t="s">
        <v>50</v>
      </c>
      <c r="G20" s="64">
        <f>G21</f>
        <v>3364.0419999999999</v>
      </c>
      <c r="H20" s="111"/>
      <c r="I20" s="112"/>
      <c r="J20" s="111"/>
      <c r="K20" s="76"/>
      <c r="L20" s="75"/>
      <c r="M20" s="75"/>
      <c r="AG20" s="75"/>
      <c r="AH20" s="75"/>
    </row>
    <row r="21" spans="1:118" ht="75" x14ac:dyDescent="0.3">
      <c r="A21" s="197" t="s">
        <v>120</v>
      </c>
      <c r="B21" s="10">
        <v>905</v>
      </c>
      <c r="C21" s="7" t="s">
        <v>115</v>
      </c>
      <c r="D21" s="7" t="s">
        <v>121</v>
      </c>
      <c r="E21" s="7" t="s">
        <v>49</v>
      </c>
      <c r="F21" s="7" t="s">
        <v>50</v>
      </c>
      <c r="G21" s="64">
        <f>G28+G22</f>
        <v>3364.0419999999999</v>
      </c>
      <c r="H21" s="111"/>
      <c r="I21" s="112"/>
      <c r="J21" s="111"/>
      <c r="K21" s="76"/>
      <c r="L21" s="75"/>
      <c r="M21" s="75"/>
      <c r="AG21" s="75"/>
      <c r="AH21" s="75"/>
    </row>
    <row r="22" spans="1:118" ht="40.5" hidden="1" customHeight="1" x14ac:dyDescent="0.3">
      <c r="A22" s="199" t="s">
        <v>38</v>
      </c>
      <c r="B22" s="47">
        <v>905</v>
      </c>
      <c r="C22" s="42" t="s">
        <v>115</v>
      </c>
      <c r="D22" s="42" t="s">
        <v>121</v>
      </c>
      <c r="E22" s="71" t="s">
        <v>400</v>
      </c>
      <c r="F22" s="71" t="s">
        <v>50</v>
      </c>
      <c r="G22" s="53">
        <f>G23</f>
        <v>0</v>
      </c>
      <c r="H22" s="111"/>
      <c r="I22" s="112"/>
      <c r="J22" s="111"/>
      <c r="K22" s="76"/>
      <c r="L22" s="75"/>
      <c r="M22" s="75"/>
      <c r="AG22" s="75"/>
      <c r="AH22" s="75"/>
    </row>
    <row r="23" spans="1:118" ht="56.25" hidden="1" x14ac:dyDescent="0.3">
      <c r="A23" s="138" t="s">
        <v>138</v>
      </c>
      <c r="B23" s="47">
        <v>905</v>
      </c>
      <c r="C23" s="42" t="s">
        <v>115</v>
      </c>
      <c r="D23" s="42" t="s">
        <v>121</v>
      </c>
      <c r="E23" s="42" t="s">
        <v>51</v>
      </c>
      <c r="F23" s="42" t="s">
        <v>50</v>
      </c>
      <c r="G23" s="53">
        <f>G24</f>
        <v>0</v>
      </c>
      <c r="H23" s="111"/>
      <c r="I23" s="112"/>
      <c r="J23" s="111"/>
      <c r="K23" s="76"/>
      <c r="L23" s="75"/>
      <c r="M23" s="75"/>
      <c r="AG23" s="75"/>
      <c r="AH23" s="75"/>
    </row>
    <row r="24" spans="1:118" hidden="1" x14ac:dyDescent="0.3">
      <c r="A24" s="158" t="s">
        <v>62</v>
      </c>
      <c r="B24" s="47">
        <v>905</v>
      </c>
      <c r="C24" s="42" t="s">
        <v>115</v>
      </c>
      <c r="D24" s="42" t="s">
        <v>121</v>
      </c>
      <c r="E24" s="42" t="s">
        <v>63</v>
      </c>
      <c r="F24" s="42" t="s">
        <v>50</v>
      </c>
      <c r="G24" s="53">
        <f>G25</f>
        <v>0</v>
      </c>
      <c r="H24" s="111"/>
      <c r="I24" s="112"/>
      <c r="J24" s="111"/>
      <c r="K24" s="76"/>
      <c r="L24" s="75"/>
      <c r="M24" s="75"/>
      <c r="AG24" s="75"/>
      <c r="AH24" s="75"/>
    </row>
    <row r="25" spans="1:118" hidden="1" x14ac:dyDescent="0.3">
      <c r="A25" s="158" t="s">
        <v>399</v>
      </c>
      <c r="B25" s="47">
        <v>905</v>
      </c>
      <c r="C25" s="42" t="s">
        <v>115</v>
      </c>
      <c r="D25" s="42" t="s">
        <v>121</v>
      </c>
      <c r="E25" s="42" t="s">
        <v>408</v>
      </c>
      <c r="F25" s="42" t="s">
        <v>50</v>
      </c>
      <c r="G25" s="53">
        <f>G26</f>
        <v>0</v>
      </c>
      <c r="H25" s="111"/>
      <c r="I25" s="112"/>
      <c r="J25" s="111"/>
      <c r="K25" s="76"/>
      <c r="L25" s="75"/>
      <c r="M25" s="75"/>
      <c r="AG25" s="75"/>
      <c r="AH25" s="75"/>
    </row>
    <row r="26" spans="1:118" ht="37.5" hidden="1" x14ac:dyDescent="0.3">
      <c r="A26" s="138" t="s">
        <v>425</v>
      </c>
      <c r="B26" s="47">
        <v>905</v>
      </c>
      <c r="C26" s="42" t="s">
        <v>115</v>
      </c>
      <c r="D26" s="42" t="s">
        <v>121</v>
      </c>
      <c r="E26" s="42" t="s">
        <v>408</v>
      </c>
      <c r="F26" s="42" t="s">
        <v>59</v>
      </c>
      <c r="G26" s="53">
        <f>H26+AW26</f>
        <v>0</v>
      </c>
      <c r="H26" s="111">
        <v>57</v>
      </c>
      <c r="I26" s="112"/>
      <c r="J26" s="111"/>
      <c r="K26" s="76"/>
      <c r="L26" s="75">
        <v>65</v>
      </c>
      <c r="M26" s="75"/>
      <c r="AG26" s="75"/>
      <c r="AH26" s="75"/>
      <c r="AK26" s="75">
        <v>52</v>
      </c>
      <c r="AW26" s="96">
        <v>-57</v>
      </c>
    </row>
    <row r="27" spans="1:118" hidden="1" x14ac:dyDescent="0.3">
      <c r="A27" s="138"/>
      <c r="B27" s="47"/>
      <c r="C27" s="42"/>
      <c r="D27" s="42"/>
      <c r="E27" s="42" t="s">
        <v>542</v>
      </c>
      <c r="F27" s="42" t="s">
        <v>59</v>
      </c>
      <c r="G27" s="53"/>
      <c r="H27" s="111"/>
      <c r="I27" s="112"/>
      <c r="J27" s="111"/>
      <c r="K27" s="76"/>
      <c r="L27" s="75"/>
      <c r="M27" s="75"/>
      <c r="AG27" s="75"/>
      <c r="AH27" s="75"/>
    </row>
    <row r="28" spans="1:118" ht="56.25" x14ac:dyDescent="0.3">
      <c r="A28" s="200" t="s">
        <v>16</v>
      </c>
      <c r="B28" s="11">
        <v>905</v>
      </c>
      <c r="C28" s="12" t="s">
        <v>115</v>
      </c>
      <c r="D28" s="12" t="s">
        <v>121</v>
      </c>
      <c r="E28" s="13" t="s">
        <v>32</v>
      </c>
      <c r="F28" s="13" t="s">
        <v>50</v>
      </c>
      <c r="G28" s="53">
        <f>G29+G36</f>
        <v>3364.0419999999999</v>
      </c>
      <c r="H28" s="111"/>
      <c r="I28" s="112"/>
      <c r="J28" s="111"/>
      <c r="K28" s="76"/>
      <c r="L28" s="75"/>
      <c r="M28" s="75"/>
      <c r="AG28" s="75"/>
      <c r="AH28" s="75"/>
    </row>
    <row r="29" spans="1:118" ht="42.75" customHeight="1" x14ac:dyDescent="0.3">
      <c r="A29" s="157" t="s">
        <v>18</v>
      </c>
      <c r="B29" s="11">
        <v>905</v>
      </c>
      <c r="C29" s="12" t="s">
        <v>115</v>
      </c>
      <c r="D29" s="12" t="s">
        <v>121</v>
      </c>
      <c r="E29" s="13" t="s">
        <v>34</v>
      </c>
      <c r="F29" s="13" t="s">
        <v>50</v>
      </c>
      <c r="G29" s="53">
        <f>G30</f>
        <v>3336.7</v>
      </c>
      <c r="H29" s="111"/>
      <c r="I29" s="112"/>
      <c r="J29" s="111"/>
      <c r="K29" s="76"/>
      <c r="L29" s="75"/>
      <c r="M29" s="75"/>
      <c r="AG29" s="75"/>
      <c r="AH29" s="75"/>
    </row>
    <row r="30" spans="1:118" ht="78" customHeight="1" x14ac:dyDescent="0.3">
      <c r="A30" s="138" t="s">
        <v>103</v>
      </c>
      <c r="B30" s="11">
        <v>905</v>
      </c>
      <c r="C30" s="12" t="s">
        <v>115</v>
      </c>
      <c r="D30" s="12" t="s">
        <v>121</v>
      </c>
      <c r="E30" s="13" t="s">
        <v>36</v>
      </c>
      <c r="F30" s="13" t="s">
        <v>50</v>
      </c>
      <c r="G30" s="53">
        <f>G31+G34</f>
        <v>3336.7</v>
      </c>
      <c r="H30" s="111"/>
      <c r="I30" s="112"/>
      <c r="J30" s="111"/>
      <c r="K30" s="76"/>
      <c r="L30" s="75"/>
      <c r="M30" s="75"/>
      <c r="AG30" s="75"/>
      <c r="AH30" s="75"/>
    </row>
    <row r="31" spans="1:118" x14ac:dyDescent="0.3">
      <c r="A31" s="138" t="s">
        <v>104</v>
      </c>
      <c r="B31" s="11">
        <v>905</v>
      </c>
      <c r="C31" s="12" t="s">
        <v>115</v>
      </c>
      <c r="D31" s="12" t="s">
        <v>121</v>
      </c>
      <c r="E31" s="12" t="s">
        <v>37</v>
      </c>
      <c r="F31" s="12" t="s">
        <v>50</v>
      </c>
      <c r="G31" s="53">
        <f>G32+G33</f>
        <v>3304.8999999999996</v>
      </c>
      <c r="H31" s="111"/>
      <c r="I31" s="112"/>
      <c r="J31" s="111"/>
      <c r="K31" s="76"/>
      <c r="L31" s="75"/>
      <c r="M31" s="75"/>
      <c r="AG31" s="75"/>
      <c r="AH31" s="75"/>
    </row>
    <row r="32" spans="1:118" ht="93.75" x14ac:dyDescent="0.3">
      <c r="A32" s="138" t="s">
        <v>56</v>
      </c>
      <c r="B32" s="11">
        <v>905</v>
      </c>
      <c r="C32" s="12" t="s">
        <v>115</v>
      </c>
      <c r="D32" s="12" t="s">
        <v>121</v>
      </c>
      <c r="E32" s="13" t="s">
        <v>37</v>
      </c>
      <c r="F32" s="13" t="s">
        <v>57</v>
      </c>
      <c r="G32" s="68">
        <f>CS32+CU32+DM32+DN32</f>
        <v>3040.8999999999996</v>
      </c>
      <c r="H32" s="111">
        <v>2293.6999999999998</v>
      </c>
      <c r="I32" s="112"/>
      <c r="J32" s="111"/>
      <c r="K32" s="76"/>
      <c r="L32" s="75"/>
      <c r="M32" s="75"/>
      <c r="AG32" s="75"/>
      <c r="AH32" s="75"/>
      <c r="AK32" s="75">
        <v>2059.8000000000002</v>
      </c>
      <c r="AX32" s="96">
        <v>-0.93393000000000004</v>
      </c>
      <c r="BK32" s="218">
        <v>-75</v>
      </c>
      <c r="BM32" s="95">
        <v>2648.7</v>
      </c>
      <c r="BU32" s="146">
        <v>8.0588999999999995</v>
      </c>
      <c r="BX32" s="146">
        <v>5.5</v>
      </c>
      <c r="CD32" s="218">
        <v>1</v>
      </c>
      <c r="CP32" s="251">
        <v>-140.6</v>
      </c>
      <c r="CS32" s="255">
        <v>2648.7</v>
      </c>
      <c r="CU32" s="250">
        <v>28</v>
      </c>
      <c r="DM32" s="187">
        <v>140</v>
      </c>
      <c r="DN32" s="260">
        <f>14+210.2</f>
        <v>224.2</v>
      </c>
    </row>
    <row r="33" spans="1:118" ht="37.5" x14ac:dyDescent="0.3">
      <c r="A33" s="138" t="s">
        <v>425</v>
      </c>
      <c r="B33" s="11">
        <v>905</v>
      </c>
      <c r="C33" s="12" t="s">
        <v>115</v>
      </c>
      <c r="D33" s="12" t="s">
        <v>121</v>
      </c>
      <c r="E33" s="13" t="s">
        <v>37</v>
      </c>
      <c r="F33" s="13" t="s">
        <v>59</v>
      </c>
      <c r="G33" s="68">
        <f>CS33+CU33</f>
        <v>264</v>
      </c>
      <c r="H33" s="111">
        <v>112.3</v>
      </c>
      <c r="I33" s="112"/>
      <c r="J33" s="111"/>
      <c r="K33" s="76"/>
      <c r="L33" s="75">
        <v>-65</v>
      </c>
      <c r="M33" s="75"/>
      <c r="AE33">
        <f>3+6.7</f>
        <v>9.6999999999999993</v>
      </c>
      <c r="AG33" s="75"/>
      <c r="AH33" s="75"/>
      <c r="AK33" s="75">
        <v>124.3</v>
      </c>
      <c r="AW33" s="96">
        <v>57</v>
      </c>
      <c r="AX33" s="96">
        <v>7.0920800000000002</v>
      </c>
      <c r="AZ33" s="218">
        <v>10.5</v>
      </c>
      <c r="BJ33" s="187">
        <v>1.9</v>
      </c>
      <c r="BM33" s="95">
        <v>119.8</v>
      </c>
      <c r="BN33" s="229">
        <v>57</v>
      </c>
      <c r="CS33" s="255">
        <v>252</v>
      </c>
      <c r="CU33" s="250">
        <v>12</v>
      </c>
    </row>
    <row r="34" spans="1:118" ht="37.5" x14ac:dyDescent="0.3">
      <c r="A34" s="157" t="s">
        <v>374</v>
      </c>
      <c r="B34" s="11">
        <v>905</v>
      </c>
      <c r="C34" s="12" t="s">
        <v>115</v>
      </c>
      <c r="D34" s="12" t="s">
        <v>121</v>
      </c>
      <c r="E34" s="13" t="s">
        <v>510</v>
      </c>
      <c r="F34" s="13" t="s">
        <v>50</v>
      </c>
      <c r="G34" s="68">
        <f>G35</f>
        <v>31.8</v>
      </c>
      <c r="H34" s="111"/>
      <c r="I34" s="112"/>
      <c r="J34" s="111"/>
      <c r="K34" s="76"/>
      <c r="L34" s="75"/>
      <c r="M34" s="75"/>
      <c r="AG34" s="75"/>
      <c r="AH34" s="75"/>
    </row>
    <row r="35" spans="1:118" ht="93.75" x14ac:dyDescent="0.3">
      <c r="A35" s="138" t="s">
        <v>56</v>
      </c>
      <c r="B35" s="11">
        <v>905</v>
      </c>
      <c r="C35" s="12" t="s">
        <v>115</v>
      </c>
      <c r="D35" s="12" t="s">
        <v>121</v>
      </c>
      <c r="E35" s="13" t="s">
        <v>510</v>
      </c>
      <c r="F35" s="13" t="s">
        <v>57</v>
      </c>
      <c r="G35" s="68">
        <f>DI35</f>
        <v>31.8</v>
      </c>
      <c r="H35" s="111"/>
      <c r="I35" s="112"/>
      <c r="J35" s="111"/>
      <c r="K35" s="76"/>
      <c r="L35" s="75"/>
      <c r="M35" s="75"/>
      <c r="AG35" s="75">
        <v>117.4</v>
      </c>
      <c r="AH35" s="75"/>
      <c r="AK35" s="75">
        <v>0</v>
      </c>
      <c r="DI35" s="260">
        <v>31.8</v>
      </c>
    </row>
    <row r="36" spans="1:118" ht="56.25" x14ac:dyDescent="0.3">
      <c r="A36" s="138" t="s">
        <v>946</v>
      </c>
      <c r="B36" s="11">
        <v>905</v>
      </c>
      <c r="C36" s="12" t="s">
        <v>115</v>
      </c>
      <c r="D36" s="12" t="s">
        <v>121</v>
      </c>
      <c r="E36" s="12" t="s">
        <v>947</v>
      </c>
      <c r="F36" s="18" t="s">
        <v>50</v>
      </c>
      <c r="G36" s="68">
        <f>G37</f>
        <v>27.341999999999999</v>
      </c>
      <c r="H36" s="111"/>
      <c r="I36" s="112"/>
      <c r="J36" s="111"/>
      <c r="K36" s="76"/>
      <c r="L36" s="75"/>
      <c r="M36" s="75"/>
      <c r="AG36" s="75"/>
      <c r="AH36" s="75"/>
    </row>
    <row r="37" spans="1:118" ht="93.75" x14ac:dyDescent="0.3">
      <c r="A37" s="138" t="s">
        <v>56</v>
      </c>
      <c r="B37" s="11">
        <v>905</v>
      </c>
      <c r="C37" s="12" t="s">
        <v>115</v>
      </c>
      <c r="D37" s="12" t="s">
        <v>121</v>
      </c>
      <c r="E37" s="12" t="s">
        <v>947</v>
      </c>
      <c r="F37" s="12" t="s">
        <v>57</v>
      </c>
      <c r="G37" s="68">
        <f>DK37</f>
        <v>27.341999999999999</v>
      </c>
      <c r="H37" s="111"/>
      <c r="I37" s="112"/>
      <c r="J37" s="111"/>
      <c r="K37" s="76"/>
      <c r="L37" s="75"/>
      <c r="M37" s="75"/>
      <c r="AG37" s="75"/>
      <c r="AH37" s="75"/>
      <c r="DK37" s="260">
        <v>27.341999999999999</v>
      </c>
    </row>
    <row r="38" spans="1:118" x14ac:dyDescent="0.3">
      <c r="A38" s="150" t="s">
        <v>122</v>
      </c>
      <c r="B38" s="10">
        <v>905</v>
      </c>
      <c r="C38" s="7" t="s">
        <v>123</v>
      </c>
      <c r="D38" s="7" t="s">
        <v>112</v>
      </c>
      <c r="E38" s="10" t="s">
        <v>49</v>
      </c>
      <c r="F38" s="7" t="s">
        <v>50</v>
      </c>
      <c r="G38" s="64">
        <f>G39+G83+G177+G226+G284</f>
        <v>688768.80860000011</v>
      </c>
      <c r="H38" s="111"/>
      <c r="I38" s="112"/>
      <c r="J38" s="111"/>
      <c r="K38" s="76"/>
      <c r="L38" s="75"/>
      <c r="M38" s="75"/>
      <c r="AG38" s="75"/>
      <c r="AH38" s="75"/>
    </row>
    <row r="39" spans="1:118" x14ac:dyDescent="0.3">
      <c r="A39" s="150" t="s">
        <v>124</v>
      </c>
      <c r="B39" s="10">
        <v>905</v>
      </c>
      <c r="C39" s="7" t="s">
        <v>123</v>
      </c>
      <c r="D39" s="17" t="s">
        <v>115</v>
      </c>
      <c r="E39" s="10" t="s">
        <v>49</v>
      </c>
      <c r="F39" s="7" t="s">
        <v>50</v>
      </c>
      <c r="G39" s="64">
        <f>G40</f>
        <v>366827.49057999998</v>
      </c>
      <c r="H39" s="111"/>
      <c r="I39" s="112"/>
      <c r="J39" s="111"/>
      <c r="K39" s="76"/>
      <c r="L39" s="75"/>
      <c r="M39" s="75"/>
      <c r="AG39" s="75"/>
      <c r="AH39" s="75"/>
    </row>
    <row r="40" spans="1:118" ht="44.25" customHeight="1" x14ac:dyDescent="0.3">
      <c r="A40" s="138" t="s">
        <v>38</v>
      </c>
      <c r="B40" s="11">
        <v>905</v>
      </c>
      <c r="C40" s="12" t="s">
        <v>123</v>
      </c>
      <c r="D40" s="6" t="s">
        <v>115</v>
      </c>
      <c r="E40" s="13" t="s">
        <v>25</v>
      </c>
      <c r="F40" s="13" t="s">
        <v>50</v>
      </c>
      <c r="G40" s="53">
        <f>G41+G76+G79+G74</f>
        <v>366827.49057999998</v>
      </c>
      <c r="H40" s="111"/>
      <c r="I40" s="112"/>
      <c r="J40" s="111"/>
      <c r="K40" s="76"/>
      <c r="L40" s="75"/>
      <c r="M40" s="75"/>
      <c r="AG40" s="75"/>
      <c r="AH40" s="75"/>
    </row>
    <row r="41" spans="1:118" ht="54.75" customHeight="1" x14ac:dyDescent="0.3">
      <c r="A41" s="138" t="s">
        <v>138</v>
      </c>
      <c r="B41" s="11">
        <v>905</v>
      </c>
      <c r="C41" s="12" t="s">
        <v>123</v>
      </c>
      <c r="D41" s="6" t="s">
        <v>115</v>
      </c>
      <c r="E41" s="13" t="s">
        <v>51</v>
      </c>
      <c r="F41" s="13" t="s">
        <v>50</v>
      </c>
      <c r="G41" s="53">
        <f>G42+G53+G68+G61+G66+G63</f>
        <v>366827.49057999998</v>
      </c>
      <c r="H41" s="111"/>
      <c r="I41" s="112"/>
      <c r="J41" s="111"/>
      <c r="K41" s="76"/>
      <c r="L41" s="75"/>
      <c r="M41" s="75"/>
      <c r="AG41" s="75"/>
      <c r="AH41" s="75"/>
    </row>
    <row r="42" spans="1:118" ht="37.5" x14ac:dyDescent="0.3">
      <c r="A42" s="138" t="s">
        <v>52</v>
      </c>
      <c r="B42" s="11">
        <v>905</v>
      </c>
      <c r="C42" s="12" t="s">
        <v>123</v>
      </c>
      <c r="D42" s="6" t="s">
        <v>115</v>
      </c>
      <c r="E42" s="13" t="s">
        <v>53</v>
      </c>
      <c r="F42" s="13" t="s">
        <v>50</v>
      </c>
      <c r="G42" s="53">
        <f>G43+G48+G51</f>
        <v>181180.69057999997</v>
      </c>
      <c r="H42" s="111"/>
      <c r="I42" s="112"/>
      <c r="J42" s="111"/>
      <c r="K42" s="76"/>
      <c r="L42" s="75"/>
      <c r="M42" s="75"/>
      <c r="AG42" s="75"/>
      <c r="AH42" s="75"/>
    </row>
    <row r="43" spans="1:118" x14ac:dyDescent="0.3">
      <c r="A43" s="138" t="s">
        <v>54</v>
      </c>
      <c r="B43" s="11">
        <v>905</v>
      </c>
      <c r="C43" s="12" t="s">
        <v>123</v>
      </c>
      <c r="D43" s="6" t="s">
        <v>115</v>
      </c>
      <c r="E43" s="13" t="s">
        <v>55</v>
      </c>
      <c r="F43" s="13" t="s">
        <v>50</v>
      </c>
      <c r="G43" s="53">
        <f>G44+G45+G47+G46</f>
        <v>89213.939579999991</v>
      </c>
      <c r="H43" s="111"/>
      <c r="I43" s="112"/>
      <c r="J43" s="111"/>
      <c r="K43" s="76"/>
      <c r="L43" s="75"/>
      <c r="M43" s="75"/>
      <c r="AG43" s="75"/>
      <c r="AH43" s="75"/>
    </row>
    <row r="44" spans="1:118" ht="93.75" x14ac:dyDescent="0.3">
      <c r="A44" s="138" t="s">
        <v>56</v>
      </c>
      <c r="B44" s="11">
        <v>905</v>
      </c>
      <c r="C44" s="12" t="s">
        <v>123</v>
      </c>
      <c r="D44" s="6" t="s">
        <v>115</v>
      </c>
      <c r="E44" s="13" t="s">
        <v>55</v>
      </c>
      <c r="F44" s="13" t="s">
        <v>57</v>
      </c>
      <c r="G44" s="53">
        <f>CS44+CU44+CX44+CZ44+DF44+DK44+DL44+DM44+DN44</f>
        <v>41472.905300000006</v>
      </c>
      <c r="H44" s="111">
        <f>35266.1+0.1</f>
        <v>35266.199999999997</v>
      </c>
      <c r="I44" s="112"/>
      <c r="J44" s="111"/>
      <c r="K44" s="76"/>
      <c r="L44" s="75"/>
      <c r="M44" s="75"/>
      <c r="T44">
        <v>2.4</v>
      </c>
      <c r="U44">
        <v>6.3</v>
      </c>
      <c r="W44">
        <v>3.6</v>
      </c>
      <c r="Y44">
        <v>2.4</v>
      </c>
      <c r="AC44">
        <v>12.1</v>
      </c>
      <c r="AG44" s="75"/>
      <c r="AH44" s="75">
        <f>-7619.7-159.1</f>
        <v>-7778.8</v>
      </c>
      <c r="AK44" s="75">
        <v>37323.199999999997</v>
      </c>
      <c r="AN44" s="145">
        <f>70+0.1</f>
        <v>70.099999999999994</v>
      </c>
      <c r="AQ44" s="146">
        <v>-141.19999999999999</v>
      </c>
      <c r="BK44" s="218">
        <v>-115.1</v>
      </c>
      <c r="BL44" s="187">
        <v>10.118</v>
      </c>
      <c r="BM44" s="95">
        <f>41233-648.4</f>
        <v>40584.6</v>
      </c>
      <c r="BX44" s="146">
        <f>50-60.4</f>
        <v>-10.399999999999999</v>
      </c>
      <c r="CJ44" s="187">
        <f>6.6-45.2</f>
        <v>-38.6</v>
      </c>
      <c r="CL44" s="187">
        <v>16.265000000000001</v>
      </c>
      <c r="CP44" s="251">
        <v>15</v>
      </c>
      <c r="CS44" s="255">
        <v>23097.5</v>
      </c>
      <c r="CU44" s="250">
        <v>50</v>
      </c>
      <c r="CX44" s="260">
        <f>28.4-2</f>
        <v>26.4</v>
      </c>
      <c r="CZ44" s="187">
        <v>16000</v>
      </c>
      <c r="DF44" s="187">
        <v>30</v>
      </c>
      <c r="DK44" s="260">
        <v>-2.49735</v>
      </c>
      <c r="DL44" s="260">
        <v>30</v>
      </c>
      <c r="DM44" s="187">
        <v>-140</v>
      </c>
      <c r="DN44" s="260">
        <f>2384-2.49735</f>
        <v>2381.5026499999999</v>
      </c>
    </row>
    <row r="45" spans="1:118" ht="37.5" x14ac:dyDescent="0.3">
      <c r="A45" s="138" t="s">
        <v>425</v>
      </c>
      <c r="B45" s="11">
        <v>905</v>
      </c>
      <c r="C45" s="12" t="s">
        <v>123</v>
      </c>
      <c r="D45" s="6" t="s">
        <v>115</v>
      </c>
      <c r="E45" s="13" t="s">
        <v>55</v>
      </c>
      <c r="F45" s="13" t="s">
        <v>59</v>
      </c>
      <c r="G45" s="53">
        <f>CR45+CS45+CU45+CV45+CX45+CY45+CZ45+DB45+DC45+DD45+DF45+DN45</f>
        <v>47730.039579999997</v>
      </c>
      <c r="H45" s="111">
        <f>10364.6-90+37474+10+1414.2+325</f>
        <v>49497.799999999996</v>
      </c>
      <c r="I45" s="112"/>
      <c r="J45" s="111"/>
      <c r="K45" s="76"/>
      <c r="L45" s="75"/>
      <c r="M45" s="75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104">
        <v>227.83975000000001</v>
      </c>
      <c r="AC45">
        <f>247+406</f>
        <v>653</v>
      </c>
      <c r="AE45">
        <v>45.889870000000002</v>
      </c>
      <c r="AG45" s="75"/>
      <c r="AH45" s="75">
        <f>111+1205</f>
        <v>1316</v>
      </c>
      <c r="AI45">
        <v>-4.3760000000000003</v>
      </c>
      <c r="AK45" s="75">
        <f>31796.3+973.6</f>
        <v>32769.9</v>
      </c>
      <c r="AN45" s="145">
        <v>-70</v>
      </c>
      <c r="AQ45" s="146">
        <v>-2.4199999999999999E-2</v>
      </c>
      <c r="AR45" s="187">
        <v>-4.0000000000000001E-3</v>
      </c>
      <c r="AS45" s="187">
        <f>-8384.804+0.018</f>
        <v>-8384.7860000000001</v>
      </c>
      <c r="AV45" s="187">
        <f>-1351.18143-0.018</f>
        <v>-1351.1994300000001</v>
      </c>
      <c r="AW45" s="96">
        <v>-0.2</v>
      </c>
      <c r="AX45" s="96">
        <v>-7</v>
      </c>
      <c r="AY45" s="218">
        <v>-1</v>
      </c>
      <c r="BE45" s="218">
        <v>-0.2</v>
      </c>
      <c r="BH45" s="225">
        <v>-161</v>
      </c>
      <c r="BJ45" s="187">
        <v>-1.9</v>
      </c>
      <c r="BK45" s="218">
        <f>-149+36+200</f>
        <v>87</v>
      </c>
      <c r="BL45" s="187">
        <f>-1800-1430.5-10.118</f>
        <v>-3240.6179999999999</v>
      </c>
      <c r="BM45" s="95">
        <f>36158.4+317.1+1155.6-0.04</f>
        <v>37631.06</v>
      </c>
      <c r="BQ45" t="s">
        <v>803</v>
      </c>
      <c r="BU45" s="146">
        <v>-469.12189999999998</v>
      </c>
      <c r="BX45" s="146">
        <v>2550</v>
      </c>
      <c r="CB45" s="218">
        <f>328-121.506+114</f>
        <v>320.49400000000003</v>
      </c>
      <c r="CD45" s="218">
        <v>122.3</v>
      </c>
      <c r="CF45" s="187">
        <v>20.89733</v>
      </c>
      <c r="CG45" s="187">
        <f>615+250+100+50+130+181+87</f>
        <v>1413</v>
      </c>
      <c r="CH45" s="250">
        <f>100+40+209.8</f>
        <v>349.8</v>
      </c>
      <c r="CJ45" s="187">
        <f>274.8+127.04</f>
        <v>401.84000000000003</v>
      </c>
      <c r="CL45" s="187">
        <v>139</v>
      </c>
      <c r="CP45" s="251">
        <v>542.97421999999995</v>
      </c>
      <c r="CR45" s="94">
        <v>1800</v>
      </c>
      <c r="CS45" s="255">
        <f>253.2+1201.25+38792.7+411.7</f>
        <v>40658.849999999991</v>
      </c>
      <c r="CU45" s="250">
        <f>799.8+234.6-1100</f>
        <v>-65.600000000000136</v>
      </c>
      <c r="CV45" s="259">
        <v>300</v>
      </c>
      <c r="CX45" s="260">
        <v>203</v>
      </c>
      <c r="CY45" s="187">
        <f>100+700+116.4+330</f>
        <v>1246.4000000000001</v>
      </c>
      <c r="CZ45" s="187">
        <f>200+36+100+20+30</f>
        <v>386</v>
      </c>
      <c r="DB45" s="187">
        <v>-4.2</v>
      </c>
      <c r="DC45" s="187">
        <f>156.5+25+705</f>
        <v>886.5</v>
      </c>
      <c r="DD45" s="187">
        <v>292.25</v>
      </c>
      <c r="DF45" s="262">
        <f>500+1405+156.5-13.3-524.81844</f>
        <v>1523.3815599999998</v>
      </c>
      <c r="DN45" s="260">
        <f>-4.44198+175-2.5+335.4</f>
        <v>503.45801999999998</v>
      </c>
    </row>
    <row r="46" spans="1:118" ht="37.5" x14ac:dyDescent="0.3">
      <c r="A46" s="138" t="s">
        <v>175</v>
      </c>
      <c r="B46" s="11">
        <v>905</v>
      </c>
      <c r="C46" s="12" t="s">
        <v>123</v>
      </c>
      <c r="D46" s="6" t="s">
        <v>115</v>
      </c>
      <c r="E46" s="13" t="s">
        <v>55</v>
      </c>
      <c r="F46" s="13" t="s">
        <v>176</v>
      </c>
      <c r="G46" s="53">
        <f>DK46+DN46</f>
        <v>4.9946999999999999</v>
      </c>
      <c r="H46" s="111"/>
      <c r="I46" s="112"/>
      <c r="J46" s="111"/>
      <c r="K46" s="76"/>
      <c r="L46" s="75"/>
      <c r="M46" s="75"/>
      <c r="Z46" s="104"/>
      <c r="AG46" s="75"/>
      <c r="AH46" s="75"/>
      <c r="AX46" s="96">
        <v>0.93393000000000004</v>
      </c>
      <c r="DK46" s="260">
        <v>2.49735</v>
      </c>
      <c r="DN46" s="260">
        <v>2.49735</v>
      </c>
    </row>
    <row r="47" spans="1:118" x14ac:dyDescent="0.3">
      <c r="A47" s="138" t="s">
        <v>60</v>
      </c>
      <c r="B47" s="11">
        <v>905</v>
      </c>
      <c r="C47" s="12" t="s">
        <v>123</v>
      </c>
      <c r="D47" s="6" t="s">
        <v>115</v>
      </c>
      <c r="E47" s="13" t="s">
        <v>55</v>
      </c>
      <c r="F47" s="13" t="s">
        <v>61</v>
      </c>
      <c r="G47" s="53">
        <f>DN47</f>
        <v>6</v>
      </c>
      <c r="H47" s="111"/>
      <c r="I47" s="112"/>
      <c r="J47" s="111"/>
      <c r="K47" s="76"/>
      <c r="L47" s="75"/>
      <c r="M47" s="75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5"/>
      <c r="AH47" s="75">
        <v>10</v>
      </c>
      <c r="AI47">
        <v>2.2559999999999998</v>
      </c>
      <c r="AK47" s="75">
        <v>0</v>
      </c>
      <c r="AS47" s="187">
        <v>0.3</v>
      </c>
      <c r="AY47" s="218">
        <v>1</v>
      </c>
      <c r="BM47" s="95">
        <v>429.4</v>
      </c>
      <c r="BX47" s="146">
        <v>-50.956899999999997</v>
      </c>
      <c r="CG47" s="187">
        <v>3.5</v>
      </c>
      <c r="CL47" s="187">
        <f>-16.265-3.125</f>
        <v>-19.39</v>
      </c>
      <c r="CP47" s="251">
        <v>-26.626000000000001</v>
      </c>
      <c r="DN47" s="260">
        <f>6</f>
        <v>6</v>
      </c>
    </row>
    <row r="48" spans="1:118" ht="37.5" x14ac:dyDescent="0.3">
      <c r="A48" s="157" t="s">
        <v>374</v>
      </c>
      <c r="B48" s="11">
        <v>905</v>
      </c>
      <c r="C48" s="12" t="s">
        <v>123</v>
      </c>
      <c r="D48" s="6" t="s">
        <v>115</v>
      </c>
      <c r="E48" s="12" t="s">
        <v>372</v>
      </c>
      <c r="F48" s="12" t="s">
        <v>50</v>
      </c>
      <c r="G48" s="53">
        <f>G50+G49</f>
        <v>90976.650999999983</v>
      </c>
      <c r="H48" s="111"/>
      <c r="I48" s="112"/>
      <c r="J48" s="111"/>
      <c r="K48" s="76"/>
      <c r="L48" s="75"/>
      <c r="M48" s="75"/>
      <c r="AG48" s="75"/>
      <c r="AH48" s="75"/>
    </row>
    <row r="49" spans="1:116" ht="93.75" x14ac:dyDescent="0.3">
      <c r="A49" s="138" t="s">
        <v>56</v>
      </c>
      <c r="B49" s="11">
        <v>905</v>
      </c>
      <c r="C49" s="12" t="s">
        <v>123</v>
      </c>
      <c r="D49" s="6" t="s">
        <v>115</v>
      </c>
      <c r="E49" s="12" t="s">
        <v>372</v>
      </c>
      <c r="F49" s="12" t="s">
        <v>57</v>
      </c>
      <c r="G49" s="53">
        <f>CS49+CY49+DI49</f>
        <v>88683.299999999988</v>
      </c>
      <c r="H49" s="111">
        <v>53758</v>
      </c>
      <c r="I49" s="112"/>
      <c r="J49" s="111"/>
      <c r="K49" s="76"/>
      <c r="L49" s="75"/>
      <c r="M49" s="75"/>
      <c r="AG49" s="75">
        <v>9285.4</v>
      </c>
      <c r="AH49" s="75"/>
      <c r="AK49" s="75">
        <v>43288.1</v>
      </c>
      <c r="AN49" s="145">
        <v>-0.1</v>
      </c>
      <c r="AP49" s="146">
        <v>5635.3</v>
      </c>
      <c r="BK49" s="218">
        <v>5801.2</v>
      </c>
      <c r="BM49" s="95">
        <v>59952.6</v>
      </c>
      <c r="CO49" s="251">
        <v>16244.9</v>
      </c>
      <c r="CS49" s="255">
        <v>94857.4</v>
      </c>
      <c r="CY49" s="187">
        <f>-8000-8000</f>
        <v>-16000</v>
      </c>
      <c r="DI49" s="260">
        <v>9825.9</v>
      </c>
    </row>
    <row r="50" spans="1:116" x14ac:dyDescent="0.3">
      <c r="A50" s="138" t="s">
        <v>60</v>
      </c>
      <c r="B50" s="11">
        <v>905</v>
      </c>
      <c r="C50" s="12" t="s">
        <v>123</v>
      </c>
      <c r="D50" s="6" t="s">
        <v>115</v>
      </c>
      <c r="E50" s="12" t="s">
        <v>372</v>
      </c>
      <c r="F50" s="12" t="s">
        <v>61</v>
      </c>
      <c r="G50" s="53">
        <f>CS50+DI50</f>
        <v>2293.3510000000001</v>
      </c>
      <c r="H50" s="120">
        <v>2466.6999999999998</v>
      </c>
      <c r="I50" s="121"/>
      <c r="J50" s="120"/>
      <c r="K50" s="76"/>
      <c r="L50" s="75"/>
      <c r="M50" s="75"/>
      <c r="AF50">
        <v>253.07300000000001</v>
      </c>
      <c r="AG50" s="75"/>
      <c r="AH50" s="75"/>
      <c r="AK50" s="75">
        <v>2545.4</v>
      </c>
      <c r="BM50" s="95">
        <v>1959.2</v>
      </c>
      <c r="CP50" s="251">
        <v>26.626000000000001</v>
      </c>
      <c r="CS50" s="255">
        <v>2384.4</v>
      </c>
      <c r="DI50" s="260">
        <f>-17.582-49.886-23.581</f>
        <v>-91.049000000000007</v>
      </c>
    </row>
    <row r="51" spans="1:116" ht="41.25" customHeight="1" x14ac:dyDescent="0.3">
      <c r="A51" s="157" t="s">
        <v>378</v>
      </c>
      <c r="B51" s="11">
        <v>905</v>
      </c>
      <c r="C51" s="12" t="s">
        <v>123</v>
      </c>
      <c r="D51" s="6" t="s">
        <v>115</v>
      </c>
      <c r="E51" s="12" t="s">
        <v>379</v>
      </c>
      <c r="F51" s="12" t="s">
        <v>50</v>
      </c>
      <c r="G51" s="53">
        <f>G52</f>
        <v>990.1</v>
      </c>
      <c r="H51" s="111"/>
      <c r="I51" s="112"/>
      <c r="J51" s="111"/>
      <c r="K51" s="76"/>
      <c r="L51" s="75"/>
      <c r="M51" s="75"/>
      <c r="AG51" s="75"/>
      <c r="AH51" s="75"/>
    </row>
    <row r="52" spans="1:116" ht="96" customHeight="1" x14ac:dyDescent="0.3">
      <c r="A52" s="138" t="s">
        <v>56</v>
      </c>
      <c r="B52" s="11">
        <v>905</v>
      </c>
      <c r="C52" s="12" t="s">
        <v>123</v>
      </c>
      <c r="D52" s="6" t="s">
        <v>115</v>
      </c>
      <c r="E52" s="12" t="s">
        <v>379</v>
      </c>
      <c r="F52" s="12" t="s">
        <v>57</v>
      </c>
      <c r="G52" s="53">
        <f>CS52</f>
        <v>990.1</v>
      </c>
      <c r="H52" s="111">
        <v>587</v>
      </c>
      <c r="I52" s="112"/>
      <c r="J52" s="111"/>
      <c r="K52" s="76"/>
      <c r="L52" s="75"/>
      <c r="M52" s="75"/>
      <c r="AG52" s="75"/>
      <c r="AH52" s="75">
        <v>159.1</v>
      </c>
      <c r="AK52" s="75">
        <v>483.8</v>
      </c>
      <c r="AQ52" s="146">
        <v>141.19999999999999</v>
      </c>
      <c r="BK52" s="218">
        <v>115.1</v>
      </c>
      <c r="BM52" s="95">
        <v>648.4</v>
      </c>
      <c r="BX52" s="146">
        <v>60.4</v>
      </c>
      <c r="CJ52" s="187">
        <v>45.2</v>
      </c>
      <c r="CS52" s="255">
        <v>990.1</v>
      </c>
    </row>
    <row r="53" spans="1:116" x14ac:dyDescent="0.3">
      <c r="A53" s="138" t="s">
        <v>62</v>
      </c>
      <c r="B53" s="11">
        <v>905</v>
      </c>
      <c r="C53" s="12" t="s">
        <v>123</v>
      </c>
      <c r="D53" s="6" t="s">
        <v>115</v>
      </c>
      <c r="E53" s="12" t="s">
        <v>63</v>
      </c>
      <c r="F53" s="12" t="s">
        <v>50</v>
      </c>
      <c r="G53" s="53">
        <f>G54+G58+G56</f>
        <v>45295.5</v>
      </c>
      <c r="H53" s="111"/>
      <c r="I53" s="112"/>
      <c r="J53" s="111"/>
      <c r="K53" s="76"/>
      <c r="L53" s="75"/>
      <c r="M53" s="75"/>
      <c r="AG53" s="75"/>
      <c r="AH53" s="75"/>
    </row>
    <row r="54" spans="1:116" ht="37.5" hidden="1" x14ac:dyDescent="0.3">
      <c r="A54" s="138" t="s">
        <v>81</v>
      </c>
      <c r="B54" s="11">
        <v>905</v>
      </c>
      <c r="C54" s="12" t="s">
        <v>123</v>
      </c>
      <c r="D54" s="6" t="s">
        <v>115</v>
      </c>
      <c r="E54" s="12" t="s">
        <v>149</v>
      </c>
      <c r="F54" s="12" t="s">
        <v>50</v>
      </c>
      <c r="G54" s="53">
        <f>G55</f>
        <v>0</v>
      </c>
      <c r="H54" s="111"/>
      <c r="I54" s="112"/>
      <c r="J54" s="111"/>
      <c r="K54" s="76"/>
      <c r="L54" s="75"/>
      <c r="M54" s="75"/>
      <c r="AG54" s="75"/>
      <c r="AH54" s="75"/>
    </row>
    <row r="55" spans="1:116" ht="37.5" hidden="1" x14ac:dyDescent="0.3">
      <c r="A55" s="138" t="s">
        <v>425</v>
      </c>
      <c r="B55" s="11">
        <v>905</v>
      </c>
      <c r="C55" s="12" t="s">
        <v>123</v>
      </c>
      <c r="D55" s="6" t="s">
        <v>115</v>
      </c>
      <c r="E55" s="12" t="s">
        <v>149</v>
      </c>
      <c r="F55" s="12" t="s">
        <v>59</v>
      </c>
      <c r="G55" s="68">
        <v>0</v>
      </c>
      <c r="H55" s="111"/>
      <c r="I55" s="112"/>
      <c r="J55" s="111"/>
      <c r="K55" s="76"/>
      <c r="L55" s="75"/>
      <c r="M55" s="75"/>
      <c r="AG55" s="75"/>
      <c r="AH55" s="75"/>
    </row>
    <row r="56" spans="1:116" ht="37.5" hidden="1" x14ac:dyDescent="0.3">
      <c r="A56" s="158" t="s">
        <v>64</v>
      </c>
      <c r="B56" s="11">
        <v>905</v>
      </c>
      <c r="C56" s="12" t="s">
        <v>123</v>
      </c>
      <c r="D56" s="6" t="s">
        <v>115</v>
      </c>
      <c r="E56" s="12" t="s">
        <v>65</v>
      </c>
      <c r="F56" s="13" t="s">
        <v>50</v>
      </c>
      <c r="G56" s="68">
        <f>G57</f>
        <v>0</v>
      </c>
      <c r="H56" s="111"/>
      <c r="I56" s="112"/>
      <c r="J56" s="111"/>
      <c r="K56" s="76"/>
      <c r="L56" s="75"/>
      <c r="M56" s="75"/>
      <c r="AG56" s="75"/>
      <c r="AH56" s="75"/>
    </row>
    <row r="57" spans="1:116" ht="37.5" hidden="1" x14ac:dyDescent="0.3">
      <c r="A57" s="138" t="s">
        <v>425</v>
      </c>
      <c r="B57" s="11">
        <v>905</v>
      </c>
      <c r="C57" s="12" t="s">
        <v>123</v>
      </c>
      <c r="D57" s="6" t="s">
        <v>115</v>
      </c>
      <c r="E57" s="12" t="s">
        <v>65</v>
      </c>
      <c r="F57" s="13" t="s">
        <v>59</v>
      </c>
      <c r="G57" s="68">
        <v>0</v>
      </c>
      <c r="H57" s="111"/>
      <c r="I57" s="112"/>
      <c r="J57" s="111"/>
      <c r="K57" s="76"/>
      <c r="L57" s="75"/>
      <c r="M57" s="75"/>
      <c r="N57">
        <v>13</v>
      </c>
      <c r="AG57" s="75"/>
      <c r="AH57" s="75"/>
      <c r="AK57" s="75">
        <v>0</v>
      </c>
    </row>
    <row r="58" spans="1:116" x14ac:dyDescent="0.3">
      <c r="A58" s="138" t="s">
        <v>66</v>
      </c>
      <c r="B58" s="11">
        <v>905</v>
      </c>
      <c r="C58" s="12" t="s">
        <v>123</v>
      </c>
      <c r="D58" s="6" t="s">
        <v>115</v>
      </c>
      <c r="E58" s="12" t="s">
        <v>67</v>
      </c>
      <c r="F58" s="12" t="s">
        <v>50</v>
      </c>
      <c r="G58" s="53">
        <f>G60</f>
        <v>45295.5</v>
      </c>
      <c r="H58" s="111"/>
      <c r="I58" s="112"/>
      <c r="J58" s="111"/>
      <c r="K58" s="76"/>
      <c r="L58" s="75"/>
      <c r="M58" s="75"/>
      <c r="AG58" s="75"/>
      <c r="AH58" s="75"/>
    </row>
    <row r="59" spans="1:116" ht="93.75" hidden="1" x14ac:dyDescent="0.3">
      <c r="A59" s="138" t="s">
        <v>56</v>
      </c>
      <c r="B59" s="11">
        <v>905</v>
      </c>
      <c r="C59" s="12" t="s">
        <v>123</v>
      </c>
      <c r="D59" s="6" t="s">
        <v>115</v>
      </c>
      <c r="E59" s="12" t="s">
        <v>67</v>
      </c>
      <c r="F59" s="12" t="s">
        <v>57</v>
      </c>
      <c r="G59" s="53">
        <v>0</v>
      </c>
      <c r="H59" s="111"/>
      <c r="I59" s="112"/>
      <c r="J59" s="111"/>
      <c r="K59" s="76"/>
      <c r="L59" s="75"/>
      <c r="M59" s="75"/>
      <c r="AG59" s="75"/>
      <c r="AH59" s="75"/>
    </row>
    <row r="60" spans="1:116" ht="49.5" customHeight="1" x14ac:dyDescent="0.3">
      <c r="A60" s="138" t="s">
        <v>425</v>
      </c>
      <c r="B60" s="11">
        <v>905</v>
      </c>
      <c r="C60" s="12" t="s">
        <v>123</v>
      </c>
      <c r="D60" s="6" t="s">
        <v>115</v>
      </c>
      <c r="E60" s="12" t="s">
        <v>67</v>
      </c>
      <c r="F60" s="12" t="s">
        <v>59</v>
      </c>
      <c r="G60" s="53">
        <f>CS60+DC60+DD60+DH60+DJ60+DL60</f>
        <v>45295.5</v>
      </c>
      <c r="H60" s="111">
        <v>33661.4</v>
      </c>
      <c r="I60" s="112"/>
      <c r="J60" s="111"/>
      <c r="K60" s="76"/>
      <c r="L60" s="75"/>
      <c r="M60" s="96">
        <v>39.812179999999998</v>
      </c>
      <c r="AG60" s="75"/>
      <c r="AH60" s="75">
        <v>-5500</v>
      </c>
      <c r="AK60" s="75">
        <v>40564.199999999997</v>
      </c>
      <c r="AZ60" s="218">
        <v>8000</v>
      </c>
      <c r="BD60" s="218">
        <v>-440</v>
      </c>
      <c r="BH60" s="225">
        <f>-62.36164-218.26575-3000</f>
        <v>-3280.6273900000001</v>
      </c>
      <c r="BL60" s="187">
        <v>-3200</v>
      </c>
      <c r="BN60" s="229">
        <v>39254.14</v>
      </c>
      <c r="CG60" s="187">
        <v>5500</v>
      </c>
      <c r="CP60" s="251">
        <v>-5000</v>
      </c>
      <c r="CS60" s="255">
        <v>39652.199999999997</v>
      </c>
      <c r="DC60" s="187">
        <v>13100</v>
      </c>
      <c r="DD60" s="187">
        <v>-551.6</v>
      </c>
      <c r="DH60" s="187">
        <v>-4500</v>
      </c>
      <c r="DJ60" s="187">
        <v>-5.0999999999999996</v>
      </c>
      <c r="DL60" s="260">
        <v>-2400</v>
      </c>
    </row>
    <row r="61" spans="1:116" ht="67.5" hidden="1" customHeight="1" x14ac:dyDescent="0.3">
      <c r="A61" s="159" t="s">
        <v>493</v>
      </c>
      <c r="B61" s="11">
        <v>905</v>
      </c>
      <c r="C61" s="12" t="s">
        <v>123</v>
      </c>
      <c r="D61" s="6" t="s">
        <v>115</v>
      </c>
      <c r="E61" s="12" t="s">
        <v>640</v>
      </c>
      <c r="F61" s="12" t="s">
        <v>50</v>
      </c>
      <c r="G61" s="53">
        <f>G62</f>
        <v>0</v>
      </c>
      <c r="H61" s="111"/>
      <c r="I61" s="112"/>
      <c r="J61" s="111"/>
      <c r="K61" s="76"/>
      <c r="L61" s="75"/>
      <c r="M61" s="96"/>
      <c r="AG61" s="75"/>
      <c r="AH61" s="75"/>
    </row>
    <row r="62" spans="1:116" ht="25.5" hidden="1" customHeight="1" x14ac:dyDescent="0.3">
      <c r="A62" s="138" t="s">
        <v>60</v>
      </c>
      <c r="B62" s="11">
        <v>905</v>
      </c>
      <c r="C62" s="12" t="s">
        <v>123</v>
      </c>
      <c r="D62" s="6" t="s">
        <v>115</v>
      </c>
      <c r="E62" s="12" t="s">
        <v>640</v>
      </c>
      <c r="F62" s="12" t="s">
        <v>61</v>
      </c>
      <c r="G62" s="53">
        <v>0</v>
      </c>
      <c r="H62" s="111"/>
      <c r="I62" s="112"/>
      <c r="J62" s="111"/>
      <c r="K62" s="76"/>
      <c r="L62" s="75"/>
      <c r="M62" s="96"/>
      <c r="T62">
        <v>14</v>
      </c>
      <c r="AG62" s="75"/>
      <c r="AH62" s="75"/>
      <c r="AK62" s="75">
        <v>0</v>
      </c>
    </row>
    <row r="63" spans="1:116" ht="100.5" hidden="1" customHeight="1" x14ac:dyDescent="0.3">
      <c r="A63" s="151" t="s">
        <v>249</v>
      </c>
      <c r="B63" s="11">
        <v>905</v>
      </c>
      <c r="C63" s="12" t="s">
        <v>123</v>
      </c>
      <c r="D63" s="6" t="s">
        <v>115</v>
      </c>
      <c r="E63" s="12" t="s">
        <v>648</v>
      </c>
      <c r="F63" s="12" t="s">
        <v>50</v>
      </c>
      <c r="G63" s="53">
        <f>G64</f>
        <v>0</v>
      </c>
      <c r="H63" s="111"/>
      <c r="I63" s="112"/>
      <c r="J63" s="111"/>
      <c r="K63" s="76"/>
      <c r="L63" s="75"/>
      <c r="M63" s="96"/>
      <c r="AG63" s="75"/>
      <c r="AH63" s="75"/>
    </row>
    <row r="64" spans="1:116" ht="100.5" hidden="1" customHeight="1" x14ac:dyDescent="0.3">
      <c r="A64" s="138" t="s">
        <v>643</v>
      </c>
      <c r="B64" s="11">
        <v>905</v>
      </c>
      <c r="C64" s="12" t="s">
        <v>123</v>
      </c>
      <c r="D64" s="6" t="s">
        <v>115</v>
      </c>
      <c r="E64" s="12" t="s">
        <v>644</v>
      </c>
      <c r="F64" s="12" t="s">
        <v>50</v>
      </c>
      <c r="G64" s="53">
        <f>G65</f>
        <v>0</v>
      </c>
      <c r="H64" s="111"/>
      <c r="I64" s="112"/>
      <c r="J64" s="111"/>
      <c r="K64" s="76"/>
      <c r="L64" s="75"/>
      <c r="M64" s="96"/>
      <c r="AG64" s="75"/>
      <c r="AH64" s="75"/>
    </row>
    <row r="65" spans="1:113" ht="51.75" hidden="1" customHeight="1" x14ac:dyDescent="0.3">
      <c r="A65" s="138" t="s">
        <v>425</v>
      </c>
      <c r="B65" s="11">
        <v>905</v>
      </c>
      <c r="C65" s="12" t="s">
        <v>123</v>
      </c>
      <c r="D65" s="6" t="s">
        <v>115</v>
      </c>
      <c r="E65" s="12" t="s">
        <v>644</v>
      </c>
      <c r="F65" s="12" t="s">
        <v>59</v>
      </c>
      <c r="G65" s="53">
        <v>0</v>
      </c>
      <c r="H65" s="111"/>
      <c r="I65" s="112"/>
      <c r="J65" s="111"/>
      <c r="K65" s="76"/>
      <c r="L65" s="75"/>
      <c r="M65" s="96"/>
      <c r="AG65" s="75"/>
      <c r="AH65" s="75"/>
      <c r="AO65" s="145">
        <v>1254</v>
      </c>
      <c r="AP65" s="146">
        <v>1524.4</v>
      </c>
      <c r="BE65" s="218">
        <v>-39.6</v>
      </c>
      <c r="BK65" s="218">
        <v>1143.7</v>
      </c>
    </row>
    <row r="66" spans="1:113" ht="119.25" hidden="1" customHeight="1" x14ac:dyDescent="0.3">
      <c r="A66" s="138" t="s">
        <v>417</v>
      </c>
      <c r="B66" s="11">
        <v>905</v>
      </c>
      <c r="C66" s="12" t="s">
        <v>123</v>
      </c>
      <c r="D66" s="6" t="s">
        <v>115</v>
      </c>
      <c r="E66" s="12" t="s">
        <v>418</v>
      </c>
      <c r="F66" s="12" t="s">
        <v>50</v>
      </c>
      <c r="G66" s="53">
        <f>G67</f>
        <v>0</v>
      </c>
      <c r="H66" s="111"/>
      <c r="I66" s="112"/>
      <c r="J66" s="111"/>
      <c r="K66" s="76"/>
      <c r="L66" s="75"/>
      <c r="M66" s="96"/>
      <c r="AG66" s="75"/>
      <c r="AH66" s="75"/>
    </row>
    <row r="67" spans="1:113" ht="51.75" hidden="1" customHeight="1" x14ac:dyDescent="0.3">
      <c r="A67" s="138" t="s">
        <v>425</v>
      </c>
      <c r="B67" s="11">
        <v>905</v>
      </c>
      <c r="C67" s="12" t="s">
        <v>123</v>
      </c>
      <c r="D67" s="6" t="s">
        <v>115</v>
      </c>
      <c r="E67" s="12" t="s">
        <v>418</v>
      </c>
      <c r="F67" s="12" t="s">
        <v>59</v>
      </c>
      <c r="G67" s="53">
        <v>0</v>
      </c>
      <c r="H67" s="111"/>
      <c r="I67" s="112"/>
      <c r="J67" s="111"/>
      <c r="K67" s="76"/>
      <c r="L67" s="75"/>
      <c r="M67" s="96"/>
      <c r="AG67" s="75"/>
      <c r="AH67" s="75"/>
      <c r="AN67" s="145">
        <v>12.7</v>
      </c>
      <c r="AQ67" s="146">
        <v>15.4</v>
      </c>
      <c r="AW67" s="96">
        <v>0.2</v>
      </c>
      <c r="BE67" s="218">
        <v>-0.4</v>
      </c>
      <c r="BK67" s="218">
        <v>11.6</v>
      </c>
      <c r="BL67" s="187">
        <v>0.4</v>
      </c>
    </row>
    <row r="68" spans="1:113" ht="37.5" x14ac:dyDescent="0.3">
      <c r="A68" s="138" t="s">
        <v>68</v>
      </c>
      <c r="B68" s="11">
        <v>905</v>
      </c>
      <c r="C68" s="12" t="s">
        <v>123</v>
      </c>
      <c r="D68" s="12" t="s">
        <v>115</v>
      </c>
      <c r="E68" s="12" t="s">
        <v>852</v>
      </c>
      <c r="F68" s="12" t="s">
        <v>50</v>
      </c>
      <c r="G68" s="53">
        <f>G69+G81</f>
        <v>140351.30000000002</v>
      </c>
      <c r="H68" s="111"/>
      <c r="I68" s="112"/>
      <c r="J68" s="111"/>
      <c r="K68" s="76"/>
      <c r="L68" s="75"/>
      <c r="M68" s="75"/>
      <c r="AG68" s="75"/>
      <c r="AH68" s="75"/>
    </row>
    <row r="69" spans="1:113" ht="75" x14ac:dyDescent="0.3">
      <c r="A69" s="138" t="s">
        <v>70</v>
      </c>
      <c r="B69" s="11">
        <v>905</v>
      </c>
      <c r="C69" s="12" t="s">
        <v>123</v>
      </c>
      <c r="D69" s="12" t="s">
        <v>115</v>
      </c>
      <c r="E69" s="12" t="s">
        <v>854</v>
      </c>
      <c r="F69" s="12" t="s">
        <v>50</v>
      </c>
      <c r="G69" s="53">
        <f>G70+G71+G73+G72</f>
        <v>140351.30000000002</v>
      </c>
      <c r="H69" s="111"/>
      <c r="I69" s="112"/>
      <c r="J69" s="111"/>
      <c r="K69" s="76"/>
      <c r="L69" s="75"/>
      <c r="M69" s="75"/>
      <c r="AG69" s="75"/>
      <c r="AH69" s="75"/>
    </row>
    <row r="70" spans="1:113" ht="93.75" x14ac:dyDescent="0.3">
      <c r="A70" s="138" t="s">
        <v>56</v>
      </c>
      <c r="B70" s="11">
        <v>905</v>
      </c>
      <c r="C70" s="12" t="s">
        <v>123</v>
      </c>
      <c r="D70" s="6" t="s">
        <v>115</v>
      </c>
      <c r="E70" s="12" t="s">
        <v>854</v>
      </c>
      <c r="F70" s="12" t="s">
        <v>57</v>
      </c>
      <c r="G70" s="53">
        <f>CQ70+CW70+CX70+CZ70+DE70+DI70</f>
        <v>138717.38800000001</v>
      </c>
      <c r="H70" s="120"/>
      <c r="I70" s="121">
        <v>94850.3</v>
      </c>
      <c r="J70" s="120"/>
      <c r="K70" s="76"/>
      <c r="L70" s="75"/>
      <c r="M70" s="75"/>
      <c r="T70">
        <v>0.874</v>
      </c>
      <c r="Z70">
        <v>-1.4903999999999999</v>
      </c>
      <c r="AG70" s="75">
        <v>4960.7</v>
      </c>
      <c r="AH70" s="75"/>
      <c r="AK70" s="75">
        <v>93421.2</v>
      </c>
      <c r="AP70" s="146">
        <v>13233.4</v>
      </c>
      <c r="AX70" s="96">
        <v>1.1830000000000001</v>
      </c>
      <c r="BK70" s="218">
        <v>3810.5</v>
      </c>
      <c r="BO70" s="230">
        <v>108736.4</v>
      </c>
      <c r="CA70" s="218">
        <v>8756.7000000000007</v>
      </c>
      <c r="CD70" s="218">
        <v>1.5720000000000001</v>
      </c>
      <c r="CG70" s="187">
        <v>1.71</v>
      </c>
      <c r="CI70" s="187">
        <v>9316.6</v>
      </c>
      <c r="CL70" s="187">
        <v>-2.1414599999999999</v>
      </c>
      <c r="CP70" s="251">
        <v>-0.17100000000000001</v>
      </c>
      <c r="CQ70" s="94">
        <f>128055.3-1549.2</f>
        <v>126506.1</v>
      </c>
      <c r="CW70" s="259">
        <v>13044.2</v>
      </c>
      <c r="CX70" s="260">
        <v>3.278</v>
      </c>
      <c r="CZ70" s="187">
        <v>2.0099999999999998</v>
      </c>
      <c r="DE70" s="187">
        <v>-90</v>
      </c>
      <c r="DI70" s="260">
        <v>-748.2</v>
      </c>
    </row>
    <row r="71" spans="1:113" ht="37.5" x14ac:dyDescent="0.3">
      <c r="A71" s="138" t="s">
        <v>425</v>
      </c>
      <c r="B71" s="11">
        <v>905</v>
      </c>
      <c r="C71" s="12" t="s">
        <v>123</v>
      </c>
      <c r="D71" s="6" t="s">
        <v>115</v>
      </c>
      <c r="E71" s="12" t="s">
        <v>854</v>
      </c>
      <c r="F71" s="12" t="s">
        <v>59</v>
      </c>
      <c r="G71" s="53">
        <f>CQ71+CX71+CZ71+DC71+DE71</f>
        <v>1543.912</v>
      </c>
      <c r="H71" s="120"/>
      <c r="I71" s="121">
        <v>1563.3</v>
      </c>
      <c r="J71" s="120"/>
      <c r="K71" s="76"/>
      <c r="L71" s="75"/>
      <c r="M71" s="75"/>
      <c r="T71">
        <v>-0.874</v>
      </c>
      <c r="AG71" s="75"/>
      <c r="AH71" s="75"/>
      <c r="AK71" s="75">
        <v>1577.4</v>
      </c>
      <c r="AX71" s="96">
        <v>-1.1830000000000001</v>
      </c>
      <c r="BO71" s="230">
        <v>1563.3</v>
      </c>
      <c r="CD71" s="218">
        <v>-1.5720000000000001</v>
      </c>
      <c r="CG71" s="187">
        <v>-1.71</v>
      </c>
      <c r="CP71" s="251">
        <v>0.17100000000000001</v>
      </c>
      <c r="CQ71" s="94">
        <v>1549.2</v>
      </c>
      <c r="CX71" s="260">
        <v>-3.278</v>
      </c>
      <c r="CZ71" s="187">
        <v>-2.0099999999999998</v>
      </c>
      <c r="DC71" s="187">
        <v>-90</v>
      </c>
      <c r="DE71" s="187">
        <v>90</v>
      </c>
    </row>
    <row r="72" spans="1:113" ht="28.5" customHeight="1" x14ac:dyDescent="0.3">
      <c r="A72" s="138" t="s">
        <v>175</v>
      </c>
      <c r="B72" s="11">
        <v>905</v>
      </c>
      <c r="C72" s="12" t="s">
        <v>123</v>
      </c>
      <c r="D72" s="6" t="s">
        <v>115</v>
      </c>
      <c r="E72" s="12" t="s">
        <v>71</v>
      </c>
      <c r="F72" s="12" t="s">
        <v>176</v>
      </c>
      <c r="G72" s="68">
        <f>DC72</f>
        <v>90</v>
      </c>
      <c r="H72" s="111"/>
      <c r="I72" s="112"/>
      <c r="J72" s="111"/>
      <c r="K72" s="76"/>
      <c r="L72" s="75"/>
      <c r="M72" s="75"/>
      <c r="Z72">
        <v>1.4903999999999999</v>
      </c>
      <c r="AG72" s="75"/>
      <c r="AH72" s="75"/>
      <c r="AK72" s="75">
        <v>0</v>
      </c>
      <c r="CL72" s="187">
        <v>2.1414599999999999</v>
      </c>
      <c r="DC72" s="187">
        <v>90</v>
      </c>
    </row>
    <row r="73" spans="1:113" hidden="1" x14ac:dyDescent="0.3">
      <c r="A73" s="138" t="s">
        <v>60</v>
      </c>
      <c r="B73" s="11">
        <v>905</v>
      </c>
      <c r="C73" s="12" t="s">
        <v>123</v>
      </c>
      <c r="D73" s="6" t="s">
        <v>115</v>
      </c>
      <c r="E73" s="12" t="s">
        <v>71</v>
      </c>
      <c r="F73" s="12" t="s">
        <v>61</v>
      </c>
      <c r="G73" s="53">
        <v>0</v>
      </c>
      <c r="H73" s="111"/>
      <c r="I73" s="112"/>
      <c r="J73" s="111"/>
      <c r="K73" s="76"/>
      <c r="L73" s="75"/>
      <c r="M73" s="75"/>
      <c r="AG73" s="75"/>
      <c r="AH73" s="75"/>
    </row>
    <row r="74" spans="1:113" ht="37.5" hidden="1" x14ac:dyDescent="0.3">
      <c r="A74" s="138" t="s">
        <v>938</v>
      </c>
      <c r="B74" s="11">
        <v>905</v>
      </c>
      <c r="C74" s="12" t="s">
        <v>123</v>
      </c>
      <c r="D74" s="6" t="s">
        <v>115</v>
      </c>
      <c r="E74" s="12" t="s">
        <v>939</v>
      </c>
      <c r="F74" s="12" t="s">
        <v>50</v>
      </c>
      <c r="G74" s="53">
        <f>G75</f>
        <v>0</v>
      </c>
      <c r="H74" s="111"/>
      <c r="I74" s="112"/>
      <c r="J74" s="111"/>
      <c r="K74" s="76"/>
      <c r="L74" s="75"/>
      <c r="M74" s="75"/>
      <c r="AG74" s="75"/>
      <c r="AH74" s="75"/>
    </row>
    <row r="75" spans="1:113" ht="37.5" hidden="1" x14ac:dyDescent="0.3">
      <c r="A75" s="138" t="s">
        <v>425</v>
      </c>
      <c r="B75" s="11">
        <v>905</v>
      </c>
      <c r="C75" s="12" t="s">
        <v>123</v>
      </c>
      <c r="D75" s="6" t="s">
        <v>115</v>
      </c>
      <c r="E75" s="12" t="s">
        <v>939</v>
      </c>
      <c r="F75" s="12" t="s">
        <v>59</v>
      </c>
      <c r="G75" s="53">
        <v>0</v>
      </c>
      <c r="H75" s="111"/>
      <c r="I75" s="112"/>
      <c r="J75" s="111"/>
      <c r="K75" s="76"/>
      <c r="L75" s="75"/>
      <c r="M75" s="75"/>
      <c r="AG75" s="75"/>
      <c r="AH75" s="75"/>
      <c r="CH75" s="250">
        <v>872.6</v>
      </c>
    </row>
    <row r="76" spans="1:113" ht="75" hidden="1" x14ac:dyDescent="0.3">
      <c r="A76" s="151" t="s">
        <v>249</v>
      </c>
      <c r="B76" s="11">
        <v>905</v>
      </c>
      <c r="C76" s="12" t="s">
        <v>123</v>
      </c>
      <c r="D76" s="6" t="s">
        <v>115</v>
      </c>
      <c r="E76" s="12" t="s">
        <v>887</v>
      </c>
      <c r="F76" s="12" t="s">
        <v>50</v>
      </c>
      <c r="G76" s="53">
        <f>G77</f>
        <v>0</v>
      </c>
      <c r="H76" s="111"/>
      <c r="I76" s="112"/>
      <c r="J76" s="111"/>
      <c r="K76" s="76"/>
      <c r="L76" s="75"/>
      <c r="M76" s="75"/>
      <c r="AG76" s="75"/>
      <c r="AH76" s="75"/>
    </row>
    <row r="77" spans="1:113" ht="112.5" hidden="1" x14ac:dyDescent="0.3">
      <c r="A77" s="138" t="s">
        <v>886</v>
      </c>
      <c r="B77" s="11">
        <v>905</v>
      </c>
      <c r="C77" s="12" t="s">
        <v>123</v>
      </c>
      <c r="D77" s="6" t="s">
        <v>115</v>
      </c>
      <c r="E77" s="12" t="s">
        <v>888</v>
      </c>
      <c r="F77" s="12" t="s">
        <v>50</v>
      </c>
      <c r="G77" s="53">
        <f>G78</f>
        <v>0</v>
      </c>
      <c r="H77" s="111"/>
      <c r="I77" s="112"/>
      <c r="J77" s="111"/>
      <c r="K77" s="76"/>
      <c r="L77" s="75"/>
      <c r="M77" s="75"/>
      <c r="AG77" s="75"/>
      <c r="AH77" s="75"/>
    </row>
    <row r="78" spans="1:113" ht="37.5" hidden="1" x14ac:dyDescent="0.3">
      <c r="A78" s="138" t="s">
        <v>425</v>
      </c>
      <c r="B78" s="11">
        <v>905</v>
      </c>
      <c r="C78" s="12" t="s">
        <v>123</v>
      </c>
      <c r="D78" s="6" t="s">
        <v>115</v>
      </c>
      <c r="E78" s="12" t="s">
        <v>888</v>
      </c>
      <c r="F78" s="12" t="s">
        <v>59</v>
      </c>
      <c r="G78" s="53">
        <v>0</v>
      </c>
      <c r="H78" s="111"/>
      <c r="I78" s="112"/>
      <c r="J78" s="111"/>
      <c r="K78" s="76"/>
      <c r="L78" s="75"/>
      <c r="M78" s="75"/>
      <c r="AG78" s="75"/>
      <c r="AH78" s="75"/>
      <c r="BY78" s="146">
        <v>2970</v>
      </c>
    </row>
    <row r="79" spans="1:113" ht="112.5" hidden="1" x14ac:dyDescent="0.3">
      <c r="A79" s="138" t="s">
        <v>417</v>
      </c>
      <c r="B79" s="11">
        <v>905</v>
      </c>
      <c r="C79" s="12" t="s">
        <v>123</v>
      </c>
      <c r="D79" s="6" t="s">
        <v>115</v>
      </c>
      <c r="E79" s="12" t="s">
        <v>889</v>
      </c>
      <c r="F79" s="12" t="s">
        <v>50</v>
      </c>
      <c r="G79" s="53">
        <f>G80</f>
        <v>0</v>
      </c>
      <c r="H79" s="111"/>
      <c r="I79" s="112"/>
      <c r="J79" s="111"/>
      <c r="K79" s="76"/>
      <c r="L79" s="75"/>
      <c r="M79" s="75"/>
      <c r="AG79" s="75"/>
      <c r="AH79" s="75"/>
    </row>
    <row r="80" spans="1:113" ht="37.5" hidden="1" x14ac:dyDescent="0.3">
      <c r="A80" s="138" t="s">
        <v>425</v>
      </c>
      <c r="B80" s="11">
        <v>905</v>
      </c>
      <c r="C80" s="12" t="s">
        <v>123</v>
      </c>
      <c r="D80" s="6" t="s">
        <v>115</v>
      </c>
      <c r="E80" s="12" t="s">
        <v>889</v>
      </c>
      <c r="F80" s="12" t="s">
        <v>59</v>
      </c>
      <c r="G80" s="53">
        <v>0</v>
      </c>
      <c r="H80" s="111"/>
      <c r="I80" s="112"/>
      <c r="J80" s="111"/>
      <c r="K80" s="76"/>
      <c r="L80" s="75"/>
      <c r="M80" s="75"/>
      <c r="AG80" s="75"/>
      <c r="AH80" s="75"/>
      <c r="BX80" s="146">
        <v>31</v>
      </c>
    </row>
    <row r="81" spans="1:118" ht="170.25" hidden="1" customHeight="1" x14ac:dyDescent="0.3">
      <c r="A81" s="261" t="s">
        <v>1151</v>
      </c>
      <c r="B81" s="11">
        <v>905</v>
      </c>
      <c r="C81" s="12" t="s">
        <v>123</v>
      </c>
      <c r="D81" s="6" t="s">
        <v>115</v>
      </c>
      <c r="E81" s="12" t="s">
        <v>1150</v>
      </c>
      <c r="F81" s="12" t="s">
        <v>50</v>
      </c>
      <c r="G81" s="53">
        <f>G82</f>
        <v>0</v>
      </c>
      <c r="H81" s="111"/>
      <c r="I81" s="112"/>
      <c r="J81" s="111"/>
      <c r="K81" s="76"/>
      <c r="L81" s="75"/>
      <c r="M81" s="75"/>
      <c r="AG81" s="75"/>
      <c r="AH81" s="75"/>
    </row>
    <row r="82" spans="1:118" ht="37.5" hidden="1" x14ac:dyDescent="0.3">
      <c r="A82" s="138" t="s">
        <v>425</v>
      </c>
      <c r="B82" s="11">
        <v>905</v>
      </c>
      <c r="C82" s="12" t="s">
        <v>123</v>
      </c>
      <c r="D82" s="6" t="s">
        <v>115</v>
      </c>
      <c r="E82" s="12" t="s">
        <v>1150</v>
      </c>
      <c r="F82" s="12" t="s">
        <v>59</v>
      </c>
      <c r="G82" s="53">
        <f>DB82+DD82</f>
        <v>0</v>
      </c>
      <c r="H82" s="111"/>
      <c r="I82" s="112"/>
      <c r="J82" s="111"/>
      <c r="K82" s="76"/>
      <c r="L82" s="75"/>
      <c r="M82" s="75"/>
      <c r="AG82" s="75"/>
      <c r="AH82" s="75"/>
      <c r="DB82" s="187">
        <v>842.4</v>
      </c>
      <c r="DD82" s="187">
        <v>-842.4</v>
      </c>
    </row>
    <row r="83" spans="1:118" x14ac:dyDescent="0.3">
      <c r="A83" s="150" t="s">
        <v>125</v>
      </c>
      <c r="B83" s="10">
        <v>905</v>
      </c>
      <c r="C83" s="7" t="s">
        <v>123</v>
      </c>
      <c r="D83" s="17" t="s">
        <v>116</v>
      </c>
      <c r="E83" s="10" t="s">
        <v>49</v>
      </c>
      <c r="F83" s="7" t="s">
        <v>50</v>
      </c>
      <c r="G83" s="64">
        <f>G84+G155+G171</f>
        <v>288079.52843999997</v>
      </c>
      <c r="H83" s="111"/>
      <c r="I83" s="112"/>
      <c r="J83" s="111"/>
      <c r="K83" s="76"/>
      <c r="L83" s="75"/>
      <c r="M83" s="75"/>
      <c r="AG83" s="75"/>
      <c r="AH83" s="75"/>
    </row>
    <row r="84" spans="1:118" ht="43.5" customHeight="1" x14ac:dyDescent="0.3">
      <c r="A84" s="138" t="s">
        <v>38</v>
      </c>
      <c r="B84" s="11">
        <v>905</v>
      </c>
      <c r="C84" s="12" t="s">
        <v>123</v>
      </c>
      <c r="D84" s="6" t="s">
        <v>116</v>
      </c>
      <c r="E84" s="13" t="s">
        <v>400</v>
      </c>
      <c r="F84" s="12" t="s">
        <v>50</v>
      </c>
      <c r="G84" s="53">
        <f>G85+G165</f>
        <v>287599.52843999997</v>
      </c>
      <c r="H84" s="111"/>
      <c r="I84" s="112"/>
      <c r="J84" s="111"/>
      <c r="K84" s="76"/>
      <c r="L84" s="75"/>
      <c r="M84" s="75"/>
      <c r="AG84" s="75"/>
      <c r="AH84" s="75"/>
    </row>
    <row r="85" spans="1:118" ht="56.25" x14ac:dyDescent="0.3">
      <c r="A85" s="138" t="s">
        <v>138</v>
      </c>
      <c r="B85" s="11">
        <v>905</v>
      </c>
      <c r="C85" s="12" t="s">
        <v>123</v>
      </c>
      <c r="D85" s="6" t="s">
        <v>116</v>
      </c>
      <c r="E85" s="13" t="s">
        <v>51</v>
      </c>
      <c r="F85" s="12" t="s">
        <v>50</v>
      </c>
      <c r="G85" s="53">
        <f>G86+G112+G128+G121+G126+G149+G152+G107+G100+G104+G161+G146</f>
        <v>286068.72843999998</v>
      </c>
      <c r="H85" s="111"/>
      <c r="I85" s="112"/>
      <c r="J85" s="111"/>
      <c r="K85" s="76"/>
      <c r="L85" s="75"/>
      <c r="M85" s="75"/>
      <c r="AG85" s="75"/>
      <c r="AH85" s="75"/>
    </row>
    <row r="86" spans="1:118" ht="37.5" x14ac:dyDescent="0.3">
      <c r="A86" s="138" t="s">
        <v>52</v>
      </c>
      <c r="B86" s="11">
        <v>905</v>
      </c>
      <c r="C86" s="12" t="s">
        <v>123</v>
      </c>
      <c r="D86" s="6" t="s">
        <v>116</v>
      </c>
      <c r="E86" s="13" t="s">
        <v>53</v>
      </c>
      <c r="F86" s="12" t="s">
        <v>50</v>
      </c>
      <c r="G86" s="53">
        <f>G87+G92+G95+G96</f>
        <v>32895.304440000007</v>
      </c>
      <c r="H86" s="111"/>
      <c r="I86" s="112"/>
      <c r="J86" s="111"/>
      <c r="K86" s="76"/>
      <c r="L86" s="75"/>
      <c r="M86" s="75"/>
      <c r="AG86" s="75"/>
      <c r="AH86" s="75"/>
    </row>
    <row r="87" spans="1:118" x14ac:dyDescent="0.3">
      <c r="A87" s="138" t="s">
        <v>73</v>
      </c>
      <c r="B87" s="11">
        <v>905</v>
      </c>
      <c r="C87" s="12" t="s">
        <v>123</v>
      </c>
      <c r="D87" s="6" t="s">
        <v>116</v>
      </c>
      <c r="E87" s="12" t="s">
        <v>39</v>
      </c>
      <c r="F87" s="12" t="s">
        <v>50</v>
      </c>
      <c r="G87" s="53">
        <f>G88+G89+G91+G90</f>
        <v>32590.804440000004</v>
      </c>
      <c r="H87" s="111"/>
      <c r="I87" s="112"/>
      <c r="J87" s="111"/>
      <c r="K87" s="76"/>
      <c r="L87" s="75"/>
      <c r="M87" s="75"/>
      <c r="AG87" s="75"/>
      <c r="AH87" s="75"/>
    </row>
    <row r="88" spans="1:118" ht="93.75" x14ac:dyDescent="0.3">
      <c r="A88" s="138" t="s">
        <v>56</v>
      </c>
      <c r="B88" s="11">
        <v>905</v>
      </c>
      <c r="C88" s="12" t="s">
        <v>123</v>
      </c>
      <c r="D88" s="6" t="s">
        <v>116</v>
      </c>
      <c r="E88" s="12" t="s">
        <v>39</v>
      </c>
      <c r="F88" s="12" t="s">
        <v>57</v>
      </c>
      <c r="G88" s="53">
        <f>380.4+CV88+DN88</f>
        <v>464.9</v>
      </c>
      <c r="H88" s="120">
        <v>281.39999999999998</v>
      </c>
      <c r="I88" s="121"/>
      <c r="J88" s="120"/>
      <c r="K88" s="76"/>
      <c r="L88" s="75"/>
      <c r="M88" s="75"/>
      <c r="T88">
        <v>3.5</v>
      </c>
      <c r="AC88">
        <v>30</v>
      </c>
      <c r="AG88" s="75"/>
      <c r="AH88" s="75">
        <v>8</v>
      </c>
      <c r="AK88" s="75">
        <v>282.89999999999998</v>
      </c>
      <c r="AN88" s="145">
        <v>20</v>
      </c>
      <c r="BJ88" s="187">
        <f>3.6+32.283</f>
        <v>35.883000000000003</v>
      </c>
      <c r="BM88" s="95">
        <f>306.5</f>
        <v>306.5</v>
      </c>
      <c r="CP88" s="251">
        <v>10.4</v>
      </c>
      <c r="CS88" s="255">
        <v>380.4</v>
      </c>
      <c r="CV88" s="259">
        <v>31</v>
      </c>
      <c r="DN88" s="260">
        <f>8.5+45</f>
        <v>53.5</v>
      </c>
    </row>
    <row r="89" spans="1:118" ht="37.5" x14ac:dyDescent="0.3">
      <c r="A89" s="138" t="s">
        <v>425</v>
      </c>
      <c r="B89" s="11">
        <v>905</v>
      </c>
      <c r="C89" s="12" t="s">
        <v>123</v>
      </c>
      <c r="D89" s="6" t="s">
        <v>116</v>
      </c>
      <c r="E89" s="12" t="s">
        <v>39</v>
      </c>
      <c r="F89" s="12" t="s">
        <v>59</v>
      </c>
      <c r="G89" s="53">
        <f>19410.2+CU89+CV89+CY89+CZ89+DD89+DF89+DN89</f>
        <v>24587.218440000004</v>
      </c>
      <c r="H89" s="120">
        <f>5853+9075.4+2525.3+631.3</f>
        <v>18085</v>
      </c>
      <c r="I89" s="121"/>
      <c r="J89" s="120"/>
      <c r="K89" s="76"/>
      <c r="L89" s="75"/>
      <c r="M89" s="75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5"/>
      <c r="AH89" s="75">
        <f>387.3+59</f>
        <v>446.3</v>
      </c>
      <c r="AK89" s="75">
        <f>19623.2</f>
        <v>19623.2</v>
      </c>
      <c r="AN89" s="145">
        <v>-20</v>
      </c>
      <c r="BJ89" s="187">
        <f>120-3.6-32.283+86.40211</f>
        <v>170.51911000000001</v>
      </c>
      <c r="BL89" s="187">
        <f>475-100+394</f>
        <v>769</v>
      </c>
      <c r="BM89" s="95">
        <f>6600.3+8953.9+2371</f>
        <v>17925.2</v>
      </c>
      <c r="CB89" s="218">
        <f>22+150</f>
        <v>172</v>
      </c>
      <c r="CH89" s="250">
        <f>96.2+146</f>
        <v>242.2</v>
      </c>
      <c r="CJ89" s="187">
        <f>2067.2+26</f>
        <v>2093.1999999999998</v>
      </c>
      <c r="CP89" s="251">
        <v>1.7</v>
      </c>
      <c r="CS89" s="255">
        <f>956.4+334.5+423.2+787.9+6432.1+8205.6+2270.5+6025.4</f>
        <v>25435.599999999999</v>
      </c>
      <c r="CU89" s="250">
        <f>112.2+1106.8+1100</f>
        <v>2319</v>
      </c>
      <c r="CV89" s="259">
        <v>189.9</v>
      </c>
      <c r="CY89" s="187">
        <f>40.5+35+310.7+30</f>
        <v>416.2</v>
      </c>
      <c r="CZ89" s="187">
        <f>220+500+30+380</f>
        <v>1130</v>
      </c>
      <c r="DD89" s="187">
        <v>181.5</v>
      </c>
      <c r="DF89" s="262">
        <f>332.1+524.81844</f>
        <v>856.91844000000003</v>
      </c>
      <c r="DN89" s="260">
        <f>-35-20+138.5+200-200</f>
        <v>83.5</v>
      </c>
    </row>
    <row r="90" spans="1:118" ht="56.25" x14ac:dyDescent="0.3">
      <c r="A90" s="138" t="s">
        <v>264</v>
      </c>
      <c r="B90" s="11">
        <v>905</v>
      </c>
      <c r="C90" s="12" t="s">
        <v>123</v>
      </c>
      <c r="D90" s="6" t="s">
        <v>116</v>
      </c>
      <c r="E90" s="12" t="s">
        <v>39</v>
      </c>
      <c r="F90" s="12" t="s">
        <v>261</v>
      </c>
      <c r="G90" s="53">
        <f>6666.9+CY90+DC90+DN90</f>
        <v>7039.7999999999993</v>
      </c>
      <c r="H90" s="120">
        <f>6007.1+389.3</f>
        <v>6396.4000000000005</v>
      </c>
      <c r="I90" s="121"/>
      <c r="J90" s="120"/>
      <c r="K90" s="76"/>
      <c r="L90" s="76">
        <v>4269.2</v>
      </c>
      <c r="M90" s="75"/>
      <c r="N90">
        <v>58</v>
      </c>
      <c r="T90">
        <f>80+4.6+30</f>
        <v>114.6</v>
      </c>
      <c r="W90">
        <f>120+10</f>
        <v>130</v>
      </c>
      <c r="Z90">
        <v>60</v>
      </c>
      <c r="AG90" s="75"/>
      <c r="AH90" s="75"/>
      <c r="AK90" s="75">
        <f>4847.4+726</f>
        <v>5573.4</v>
      </c>
      <c r="AN90" s="145">
        <f>51.2-0.1</f>
        <v>51.1</v>
      </c>
      <c r="BM90" s="95">
        <f>6405.2-727.8</f>
        <v>5677.4</v>
      </c>
      <c r="CB90" s="218">
        <v>50</v>
      </c>
      <c r="CL90" s="187">
        <v>241.2</v>
      </c>
      <c r="CS90" s="255">
        <f>0.1+389.5+251.9</f>
        <v>641.5</v>
      </c>
      <c r="CY90" s="187">
        <f>10+40.5</f>
        <v>50.5</v>
      </c>
      <c r="DC90" s="187">
        <f>51+6+338</f>
        <v>395</v>
      </c>
      <c r="DN90" s="260">
        <f>-32.4-40.2</f>
        <v>-72.599999999999994</v>
      </c>
    </row>
    <row r="91" spans="1:118" x14ac:dyDescent="0.3">
      <c r="A91" s="138" t="s">
        <v>60</v>
      </c>
      <c r="B91" s="11">
        <v>905</v>
      </c>
      <c r="C91" s="12" t="s">
        <v>123</v>
      </c>
      <c r="D91" s="6" t="s">
        <v>116</v>
      </c>
      <c r="E91" s="12" t="s">
        <v>39</v>
      </c>
      <c r="F91" s="12" t="s">
        <v>61</v>
      </c>
      <c r="G91" s="53">
        <f>416.7+DH91+DI91+DL91+DN91</f>
        <v>498.88599999999997</v>
      </c>
      <c r="H91" s="111">
        <f>212.5+294.1</f>
        <v>506.6</v>
      </c>
      <c r="I91" s="112"/>
      <c r="J91" s="111"/>
      <c r="K91" s="76"/>
      <c r="L91" s="75"/>
      <c r="M91" s="75"/>
      <c r="W91">
        <v>6</v>
      </c>
      <c r="AE91">
        <v>-1.0529999999999999</v>
      </c>
      <c r="AG91" s="75"/>
      <c r="AH91" s="75"/>
      <c r="AK91" s="75">
        <v>0</v>
      </c>
      <c r="BE91" s="218">
        <v>80.900000000000006</v>
      </c>
      <c r="BL91" s="187">
        <v>-51.9</v>
      </c>
      <c r="BM91" s="95">
        <f>206.9+294.1</f>
        <v>501</v>
      </c>
      <c r="CL91" s="187">
        <v>-2.1019999999999999</v>
      </c>
      <c r="CS91" s="255">
        <v>416.7</v>
      </c>
      <c r="DH91" s="187">
        <v>11</v>
      </c>
      <c r="DI91" s="260">
        <f>49.886-50.9</f>
        <v>-1.0139999999999958</v>
      </c>
      <c r="DL91" s="260">
        <v>51</v>
      </c>
      <c r="DN91" s="260">
        <v>21.2</v>
      </c>
    </row>
    <row r="92" spans="1:118" ht="37.5" x14ac:dyDescent="0.3">
      <c r="A92" s="157" t="s">
        <v>374</v>
      </c>
      <c r="B92" s="11">
        <v>905</v>
      </c>
      <c r="C92" s="12" t="s">
        <v>123</v>
      </c>
      <c r="D92" s="6" t="s">
        <v>116</v>
      </c>
      <c r="E92" s="12" t="s">
        <v>376</v>
      </c>
      <c r="F92" s="12" t="s">
        <v>50</v>
      </c>
      <c r="G92" s="68">
        <f>G98+G97</f>
        <v>304.5</v>
      </c>
      <c r="H92" s="111"/>
      <c r="I92" s="112"/>
      <c r="J92" s="111"/>
      <c r="K92" s="76"/>
      <c r="L92" s="75"/>
      <c r="M92" s="75"/>
      <c r="AG92" s="75"/>
      <c r="AH92" s="75"/>
    </row>
    <row r="93" spans="1:118" ht="93.75" hidden="1" x14ac:dyDescent="0.3">
      <c r="A93" s="138" t="s">
        <v>56</v>
      </c>
      <c r="B93" s="11">
        <v>905</v>
      </c>
      <c r="C93" s="12" t="s">
        <v>123</v>
      </c>
      <c r="D93" s="6" t="s">
        <v>116</v>
      </c>
      <c r="E93" s="12" t="s">
        <v>376</v>
      </c>
      <c r="F93" s="12" t="s">
        <v>57</v>
      </c>
      <c r="G93" s="68">
        <v>0</v>
      </c>
      <c r="H93" s="111"/>
      <c r="I93" s="112"/>
      <c r="J93" s="111"/>
      <c r="K93" s="76"/>
      <c r="L93" s="75"/>
      <c r="M93" s="75"/>
      <c r="AG93" s="75"/>
      <c r="AH93" s="75"/>
    </row>
    <row r="94" spans="1:118" hidden="1" x14ac:dyDescent="0.3">
      <c r="A94" s="138" t="s">
        <v>60</v>
      </c>
      <c r="B94" s="11">
        <v>905</v>
      </c>
      <c r="C94" s="12" t="s">
        <v>123</v>
      </c>
      <c r="D94" s="6" t="s">
        <v>116</v>
      </c>
      <c r="E94" s="12" t="s">
        <v>376</v>
      </c>
      <c r="F94" s="12" t="s">
        <v>61</v>
      </c>
      <c r="G94" s="68">
        <v>0</v>
      </c>
      <c r="H94" s="111"/>
      <c r="I94" s="112"/>
      <c r="J94" s="111"/>
      <c r="K94" s="76"/>
      <c r="L94" s="75"/>
      <c r="M94" s="75"/>
      <c r="AG94" s="75"/>
      <c r="AH94" s="75"/>
    </row>
    <row r="95" spans="1:118" ht="45.75" hidden="1" customHeight="1" x14ac:dyDescent="0.3">
      <c r="A95" s="157" t="s">
        <v>378</v>
      </c>
      <c r="B95" s="11">
        <v>905</v>
      </c>
      <c r="C95" s="12" t="s">
        <v>123</v>
      </c>
      <c r="D95" s="6" t="s">
        <v>116</v>
      </c>
      <c r="E95" s="12" t="s">
        <v>492</v>
      </c>
      <c r="F95" s="12" t="s">
        <v>50</v>
      </c>
      <c r="G95" s="68">
        <v>0</v>
      </c>
      <c r="H95" s="111"/>
      <c r="I95" s="112"/>
      <c r="J95" s="111"/>
      <c r="K95" s="76"/>
      <c r="L95" s="75"/>
      <c r="M95" s="75"/>
      <c r="AG95" s="75"/>
      <c r="AH95" s="75"/>
    </row>
    <row r="96" spans="1:118" ht="45.75" hidden="1" customHeight="1" x14ac:dyDescent="0.3">
      <c r="A96" s="157" t="s">
        <v>374</v>
      </c>
      <c r="B96" s="11">
        <v>905</v>
      </c>
      <c r="C96" s="12" t="s">
        <v>123</v>
      </c>
      <c r="D96" s="6" t="s">
        <v>116</v>
      </c>
      <c r="E96" s="12" t="s">
        <v>376</v>
      </c>
      <c r="F96" s="12" t="s">
        <v>50</v>
      </c>
      <c r="G96" s="68">
        <v>0</v>
      </c>
      <c r="H96" s="111"/>
      <c r="I96" s="112"/>
      <c r="J96" s="111"/>
      <c r="K96" s="76"/>
      <c r="L96" s="75"/>
      <c r="M96" s="75"/>
      <c r="AG96" s="75"/>
      <c r="AH96" s="75"/>
    </row>
    <row r="97" spans="1:118" ht="106.5" hidden="1" customHeight="1" x14ac:dyDescent="0.3">
      <c r="A97" s="138" t="s">
        <v>56</v>
      </c>
      <c r="B97" s="11">
        <v>905</v>
      </c>
      <c r="C97" s="12" t="s">
        <v>123</v>
      </c>
      <c r="D97" s="6" t="s">
        <v>116</v>
      </c>
      <c r="E97" s="12" t="s">
        <v>376</v>
      </c>
      <c r="F97" s="12" t="s">
        <v>57</v>
      </c>
      <c r="G97" s="68">
        <v>0</v>
      </c>
      <c r="H97" s="111"/>
      <c r="I97" s="112"/>
      <c r="J97" s="111"/>
      <c r="K97" s="76"/>
      <c r="L97" s="75"/>
      <c r="M97" s="75"/>
      <c r="AG97" s="75">
        <v>305</v>
      </c>
      <c r="AH97" s="75"/>
      <c r="AP97" s="146">
        <v>6.1</v>
      </c>
    </row>
    <row r="98" spans="1:118" ht="50.25" customHeight="1" x14ac:dyDescent="0.3">
      <c r="A98" s="138" t="s">
        <v>264</v>
      </c>
      <c r="B98" s="11">
        <v>905</v>
      </c>
      <c r="C98" s="12" t="s">
        <v>123</v>
      </c>
      <c r="D98" s="6" t="s">
        <v>116</v>
      </c>
      <c r="E98" s="12" t="s">
        <v>376</v>
      </c>
      <c r="F98" s="12" t="s">
        <v>261</v>
      </c>
      <c r="G98" s="68">
        <f>CS98</f>
        <v>304.5</v>
      </c>
      <c r="H98" s="111">
        <v>332.9</v>
      </c>
      <c r="I98" s="112"/>
      <c r="J98" s="111"/>
      <c r="K98" s="76"/>
      <c r="L98" s="75">
        <v>733.5</v>
      </c>
      <c r="M98" s="75"/>
      <c r="AG98" s="75"/>
      <c r="AH98" s="75"/>
      <c r="AN98" s="145">
        <v>0.1</v>
      </c>
      <c r="BM98" s="95">
        <v>727.8</v>
      </c>
      <c r="CS98" s="255">
        <v>304.5</v>
      </c>
    </row>
    <row r="99" spans="1:118" ht="35.25" hidden="1" customHeight="1" x14ac:dyDescent="0.3">
      <c r="A99" s="138" t="s">
        <v>60</v>
      </c>
      <c r="B99" s="11">
        <v>905</v>
      </c>
      <c r="C99" s="12" t="s">
        <v>123</v>
      </c>
      <c r="D99" s="6" t="s">
        <v>116</v>
      </c>
      <c r="E99" s="12" t="s">
        <v>376</v>
      </c>
      <c r="F99" s="12" t="s">
        <v>61</v>
      </c>
      <c r="G99" s="53">
        <v>0</v>
      </c>
      <c r="H99" s="120"/>
      <c r="I99" s="121"/>
      <c r="J99" s="120"/>
      <c r="K99" s="76"/>
      <c r="L99" s="75"/>
      <c r="M99" s="75"/>
      <c r="AG99" s="75"/>
      <c r="AH99" s="75"/>
      <c r="AK99" s="75">
        <v>469.7</v>
      </c>
    </row>
    <row r="100" spans="1:118" ht="86.25" customHeight="1" x14ac:dyDescent="0.3">
      <c r="A100" s="151" t="s">
        <v>249</v>
      </c>
      <c r="B100" s="11">
        <v>905</v>
      </c>
      <c r="C100" s="12" t="s">
        <v>123</v>
      </c>
      <c r="D100" s="6" t="s">
        <v>116</v>
      </c>
      <c r="E100" s="12" t="s">
        <v>887</v>
      </c>
      <c r="F100" s="12" t="s">
        <v>50</v>
      </c>
      <c r="G100" s="68">
        <f>G101</f>
        <v>9522.4</v>
      </c>
      <c r="H100" s="111"/>
      <c r="I100" s="112"/>
      <c r="J100" s="111"/>
      <c r="K100" s="76"/>
      <c r="L100" s="75"/>
      <c r="M100" s="75"/>
      <c r="AG100" s="75"/>
      <c r="AH100" s="75"/>
    </row>
    <row r="101" spans="1:118" ht="99" customHeight="1" x14ac:dyDescent="0.3">
      <c r="A101" s="138" t="s">
        <v>886</v>
      </c>
      <c r="B101" s="11">
        <v>905</v>
      </c>
      <c r="C101" s="12" t="s">
        <v>123</v>
      </c>
      <c r="D101" s="6" t="s">
        <v>116</v>
      </c>
      <c r="E101" s="12" t="s">
        <v>888</v>
      </c>
      <c r="F101" s="12" t="s">
        <v>50</v>
      </c>
      <c r="G101" s="68">
        <f>G103+G102</f>
        <v>9522.4</v>
      </c>
      <c r="H101" s="111"/>
      <c r="I101" s="112"/>
      <c r="J101" s="111"/>
      <c r="K101" s="76"/>
      <c r="L101" s="75"/>
      <c r="M101" s="75"/>
      <c r="AG101" s="75"/>
      <c r="AH101" s="75"/>
    </row>
    <row r="102" spans="1:118" ht="54" customHeight="1" x14ac:dyDescent="0.3">
      <c r="A102" s="138" t="s">
        <v>425</v>
      </c>
      <c r="B102" s="11">
        <v>905</v>
      </c>
      <c r="C102" s="12" t="s">
        <v>123</v>
      </c>
      <c r="D102" s="6" t="s">
        <v>116</v>
      </c>
      <c r="E102" s="12" t="s">
        <v>888</v>
      </c>
      <c r="F102" s="12" t="s">
        <v>59</v>
      </c>
      <c r="G102" s="68">
        <f>10075.6+DB102</f>
        <v>9522.4</v>
      </c>
      <c r="H102" s="111"/>
      <c r="I102" s="112"/>
      <c r="J102" s="111"/>
      <c r="K102" s="76"/>
      <c r="L102" s="75"/>
      <c r="M102" s="75"/>
      <c r="AG102" s="75"/>
      <c r="AH102" s="75"/>
      <c r="AP102" s="146">
        <v>905.8</v>
      </c>
      <c r="BE102" s="218">
        <v>39.6</v>
      </c>
      <c r="BT102" s="146">
        <v>400</v>
      </c>
      <c r="DB102" s="187">
        <v>-553.20000000000005</v>
      </c>
      <c r="DG102" s="187">
        <v>-130.6</v>
      </c>
    </row>
    <row r="103" spans="1:118" ht="38.25" hidden="1" customHeight="1" x14ac:dyDescent="0.3">
      <c r="A103" s="138" t="s">
        <v>264</v>
      </c>
      <c r="B103" s="11">
        <v>905</v>
      </c>
      <c r="C103" s="12" t="s">
        <v>123</v>
      </c>
      <c r="D103" s="6" t="s">
        <v>116</v>
      </c>
      <c r="E103" s="12" t="s">
        <v>888</v>
      </c>
      <c r="F103" s="12" t="s">
        <v>261</v>
      </c>
      <c r="G103" s="68">
        <v>0</v>
      </c>
      <c r="H103" s="111"/>
      <c r="I103" s="112"/>
      <c r="J103" s="111"/>
      <c r="K103" s="76"/>
      <c r="L103" s="75"/>
      <c r="M103" s="75"/>
      <c r="X103">
        <v>2020</v>
      </c>
      <c r="AG103" s="75"/>
      <c r="AH103" s="75"/>
      <c r="AK103" s="75">
        <v>0</v>
      </c>
      <c r="AO103" s="145">
        <v>5147.2</v>
      </c>
      <c r="AP103" s="146">
        <v>792</v>
      </c>
    </row>
    <row r="104" spans="1:118" ht="119.25" customHeight="1" x14ac:dyDescent="0.3">
      <c r="A104" s="138" t="s">
        <v>417</v>
      </c>
      <c r="B104" s="11">
        <v>905</v>
      </c>
      <c r="C104" s="12" t="s">
        <v>123</v>
      </c>
      <c r="D104" s="6" t="s">
        <v>116</v>
      </c>
      <c r="E104" s="12" t="s">
        <v>889</v>
      </c>
      <c r="F104" s="12" t="s">
        <v>50</v>
      </c>
      <c r="G104" s="68">
        <f>G106+G105</f>
        <v>101.8</v>
      </c>
      <c r="H104" s="111"/>
      <c r="I104" s="112"/>
      <c r="J104" s="111"/>
      <c r="K104" s="76"/>
      <c r="L104" s="75"/>
      <c r="M104" s="75"/>
      <c r="AG104" s="75"/>
      <c r="AH104" s="75"/>
    </row>
    <row r="105" spans="1:118" ht="57" customHeight="1" x14ac:dyDescent="0.3">
      <c r="A105" s="138" t="s">
        <v>425</v>
      </c>
      <c r="B105" s="11">
        <v>905</v>
      </c>
      <c r="C105" s="12" t="s">
        <v>123</v>
      </c>
      <c r="D105" s="6" t="s">
        <v>116</v>
      </c>
      <c r="E105" s="12" t="s">
        <v>889</v>
      </c>
      <c r="F105" s="12" t="s">
        <v>59</v>
      </c>
      <c r="G105" s="68">
        <v>101.8</v>
      </c>
      <c r="H105" s="111"/>
      <c r="I105" s="112"/>
      <c r="J105" s="111"/>
      <c r="K105" s="76"/>
      <c r="L105" s="75"/>
      <c r="M105" s="75"/>
      <c r="AG105" s="75"/>
      <c r="AH105" s="75"/>
      <c r="AQ105" s="146">
        <v>9.1999999999999993</v>
      </c>
      <c r="BE105" s="218">
        <v>0.6</v>
      </c>
      <c r="BU105" s="146">
        <v>4.3</v>
      </c>
    </row>
    <row r="106" spans="1:118" ht="47.25" hidden="1" customHeight="1" x14ac:dyDescent="0.3">
      <c r="A106" s="138" t="s">
        <v>264</v>
      </c>
      <c r="B106" s="11">
        <v>905</v>
      </c>
      <c r="C106" s="12" t="s">
        <v>123</v>
      </c>
      <c r="D106" s="6" t="s">
        <v>116</v>
      </c>
      <c r="E106" s="12" t="s">
        <v>889</v>
      </c>
      <c r="F106" s="12" t="s">
        <v>261</v>
      </c>
      <c r="G106" s="68">
        <v>0</v>
      </c>
      <c r="H106" s="111"/>
      <c r="I106" s="112"/>
      <c r="J106" s="111"/>
      <c r="K106" s="76"/>
      <c r="L106" s="75"/>
      <c r="M106" s="75"/>
      <c r="Y106">
        <v>20.5</v>
      </c>
      <c r="AG106" s="75"/>
      <c r="AH106" s="75"/>
      <c r="AK106" s="75">
        <v>0</v>
      </c>
      <c r="AN106" s="145">
        <v>52</v>
      </c>
      <c r="AQ106" s="146">
        <v>8</v>
      </c>
    </row>
    <row r="107" spans="1:118" ht="75" x14ac:dyDescent="0.3">
      <c r="A107" s="138" t="s">
        <v>173</v>
      </c>
      <c r="B107" s="11">
        <v>905</v>
      </c>
      <c r="C107" s="12" t="s">
        <v>123</v>
      </c>
      <c r="D107" s="6" t="s">
        <v>116</v>
      </c>
      <c r="E107" s="12" t="s">
        <v>857</v>
      </c>
      <c r="F107" s="12" t="s">
        <v>50</v>
      </c>
      <c r="G107" s="68">
        <f>G108</f>
        <v>519.70000000000005</v>
      </c>
      <c r="H107" s="111"/>
      <c r="I107" s="112"/>
      <c r="J107" s="111"/>
      <c r="K107" s="76"/>
      <c r="L107" s="75"/>
      <c r="M107" s="75"/>
      <c r="AG107" s="75"/>
      <c r="AH107" s="75"/>
    </row>
    <row r="108" spans="1:118" ht="154.5" customHeight="1" x14ac:dyDescent="0.3">
      <c r="A108" s="138" t="s">
        <v>519</v>
      </c>
      <c r="B108" s="11">
        <v>905</v>
      </c>
      <c r="C108" s="12" t="s">
        <v>123</v>
      </c>
      <c r="D108" s="6" t="s">
        <v>116</v>
      </c>
      <c r="E108" s="12" t="s">
        <v>858</v>
      </c>
      <c r="F108" s="12" t="s">
        <v>50</v>
      </c>
      <c r="G108" s="68">
        <f>G110+G109+G111</f>
        <v>519.70000000000005</v>
      </c>
      <c r="H108" s="111"/>
      <c r="I108" s="112"/>
      <c r="J108" s="111"/>
      <c r="K108" s="76"/>
      <c r="L108" s="75"/>
      <c r="M108" s="75"/>
      <c r="AG108" s="75"/>
      <c r="AH108" s="75"/>
    </row>
    <row r="109" spans="1:118" ht="92.25" customHeight="1" x14ac:dyDescent="0.3">
      <c r="A109" s="138" t="s">
        <v>56</v>
      </c>
      <c r="B109" s="11">
        <v>905</v>
      </c>
      <c r="C109" s="12" t="s">
        <v>123</v>
      </c>
      <c r="D109" s="6" t="s">
        <v>116</v>
      </c>
      <c r="E109" s="12" t="s">
        <v>858</v>
      </c>
      <c r="F109" s="12" t="s">
        <v>57</v>
      </c>
      <c r="G109" s="53">
        <f>CQ109+DJ109+DN109</f>
        <v>406.39475000000004</v>
      </c>
      <c r="H109" s="120"/>
      <c r="I109" s="121">
        <v>510.1</v>
      </c>
      <c r="J109" s="120"/>
      <c r="K109" s="76"/>
      <c r="L109" s="75"/>
      <c r="M109" s="75"/>
      <c r="W109">
        <v>142.5</v>
      </c>
      <c r="Z109">
        <v>-1.411</v>
      </c>
      <c r="AG109" s="75">
        <v>-27.2</v>
      </c>
      <c r="AH109" s="75">
        <f>-26.61528-18.10854-4.38044+53.91683</f>
        <v>4.8125699999999938</v>
      </c>
      <c r="AK109" s="75">
        <v>253.3</v>
      </c>
      <c r="BH109" s="225">
        <v>-32.9</v>
      </c>
      <c r="BJ109" s="187">
        <v>-9.9358000000000004</v>
      </c>
      <c r="BO109" s="230">
        <v>514.4</v>
      </c>
      <c r="CP109" s="251">
        <v>-128.11680000000001</v>
      </c>
      <c r="CQ109" s="94">
        <v>519.70000000000005</v>
      </c>
      <c r="DJ109" s="263">
        <v>-86.874650000000003</v>
      </c>
      <c r="DN109" s="260">
        <v>-26.430599999999998</v>
      </c>
    </row>
    <row r="110" spans="1:118" ht="37.5" x14ac:dyDescent="0.3">
      <c r="A110" s="138" t="s">
        <v>425</v>
      </c>
      <c r="B110" s="11">
        <v>905</v>
      </c>
      <c r="C110" s="12" t="s">
        <v>123</v>
      </c>
      <c r="D110" s="6" t="s">
        <v>116</v>
      </c>
      <c r="E110" s="12" t="s">
        <v>518</v>
      </c>
      <c r="F110" s="12" t="s">
        <v>59</v>
      </c>
      <c r="G110" s="68">
        <v>0</v>
      </c>
      <c r="H110" s="111"/>
      <c r="I110" s="112"/>
      <c r="J110" s="111"/>
      <c r="K110" s="76"/>
      <c r="L110" s="75"/>
      <c r="M110" s="75"/>
      <c r="W110">
        <v>-199.4</v>
      </c>
      <c r="Z110">
        <v>1.411</v>
      </c>
      <c r="AG110" s="75"/>
      <c r="AH110" s="75">
        <f>-0.44598-0.26352</f>
        <v>-0.70950000000000002</v>
      </c>
      <c r="AK110" s="75">
        <v>0</v>
      </c>
    </row>
    <row r="111" spans="1:118" ht="56.25" x14ac:dyDescent="0.3">
      <c r="A111" s="138" t="s">
        <v>264</v>
      </c>
      <c r="B111" s="11">
        <v>905</v>
      </c>
      <c r="C111" s="12" t="s">
        <v>123</v>
      </c>
      <c r="D111" s="6" t="s">
        <v>116</v>
      </c>
      <c r="E111" s="12" t="s">
        <v>808</v>
      </c>
      <c r="F111" s="12" t="s">
        <v>261</v>
      </c>
      <c r="G111" s="68">
        <f>DJ111+DN111</f>
        <v>113.30525</v>
      </c>
      <c r="H111" s="111"/>
      <c r="I111" s="112"/>
      <c r="J111" s="111"/>
      <c r="K111" s="76"/>
      <c r="L111" s="75"/>
      <c r="M111" s="75"/>
      <c r="W111">
        <v>56.9</v>
      </c>
      <c r="AG111" s="75"/>
      <c r="AH111" s="75">
        <f>-3.49366-0.60941</f>
        <v>-4.1030700000000007</v>
      </c>
      <c r="AK111" s="75">
        <v>0</v>
      </c>
      <c r="BH111" s="225">
        <v>32.9</v>
      </c>
      <c r="BJ111" s="187">
        <v>9.9358000000000004</v>
      </c>
      <c r="CP111" s="251">
        <v>128.11680000000001</v>
      </c>
      <c r="DJ111" s="263">
        <v>86.874650000000003</v>
      </c>
      <c r="DN111" s="260">
        <v>26.430599999999998</v>
      </c>
    </row>
    <row r="112" spans="1:118" x14ac:dyDescent="0.3">
      <c r="A112" s="138" t="s">
        <v>62</v>
      </c>
      <c r="B112" s="11">
        <v>905</v>
      </c>
      <c r="C112" s="12" t="s">
        <v>123</v>
      </c>
      <c r="D112" s="6" t="s">
        <v>116</v>
      </c>
      <c r="E112" s="12" t="s">
        <v>63</v>
      </c>
      <c r="F112" s="12" t="s">
        <v>50</v>
      </c>
      <c r="G112" s="53">
        <f>G113+G115+G118</f>
        <v>448.92399999999998</v>
      </c>
      <c r="H112" s="111"/>
      <c r="I112" s="112"/>
      <c r="J112" s="111"/>
      <c r="K112" s="76"/>
      <c r="L112" s="75"/>
      <c r="M112" s="75"/>
      <c r="AG112" s="75"/>
      <c r="AH112" s="75"/>
    </row>
    <row r="113" spans="1:117" ht="75" hidden="1" x14ac:dyDescent="0.3">
      <c r="A113" s="138" t="s">
        <v>536</v>
      </c>
      <c r="B113" s="11">
        <v>905</v>
      </c>
      <c r="C113" s="12" t="s">
        <v>123</v>
      </c>
      <c r="D113" s="6" t="s">
        <v>116</v>
      </c>
      <c r="E113" s="12" t="s">
        <v>149</v>
      </c>
      <c r="F113" s="12" t="s">
        <v>50</v>
      </c>
      <c r="G113" s="53">
        <f>G114+T113</f>
        <v>0</v>
      </c>
      <c r="H113" s="111"/>
      <c r="I113" s="112"/>
      <c r="J113" s="111"/>
      <c r="K113" s="76"/>
      <c r="L113" s="75"/>
      <c r="M113" s="75"/>
      <c r="AG113" s="75"/>
      <c r="AH113" s="75"/>
    </row>
    <row r="114" spans="1:117" ht="37.5" hidden="1" x14ac:dyDescent="0.3">
      <c r="A114" s="138" t="s">
        <v>425</v>
      </c>
      <c r="B114" s="11">
        <v>905</v>
      </c>
      <c r="C114" s="12" t="s">
        <v>123</v>
      </c>
      <c r="D114" s="6" t="s">
        <v>116</v>
      </c>
      <c r="E114" s="12" t="s">
        <v>149</v>
      </c>
      <c r="F114" s="12" t="s">
        <v>59</v>
      </c>
      <c r="G114" s="68">
        <v>0</v>
      </c>
      <c r="H114" s="111"/>
      <c r="I114" s="112"/>
      <c r="J114" s="111"/>
      <c r="K114" s="76"/>
      <c r="L114" s="75"/>
      <c r="M114" s="75"/>
      <c r="T114">
        <v>-25</v>
      </c>
      <c r="AG114" s="75"/>
      <c r="AH114" s="75"/>
      <c r="AK114" s="75">
        <v>0</v>
      </c>
    </row>
    <row r="115" spans="1:117" ht="26.25" customHeight="1" x14ac:dyDescent="0.3">
      <c r="A115" s="138" t="s">
        <v>75</v>
      </c>
      <c r="B115" s="11">
        <v>905</v>
      </c>
      <c r="C115" s="12" t="s">
        <v>123</v>
      </c>
      <c r="D115" s="6" t="s">
        <v>116</v>
      </c>
      <c r="E115" s="12" t="s">
        <v>40</v>
      </c>
      <c r="F115" s="12" t="s">
        <v>50</v>
      </c>
      <c r="G115" s="53">
        <f>G117+G116</f>
        <v>446.524</v>
      </c>
      <c r="H115" s="111"/>
      <c r="I115" s="112"/>
      <c r="J115" s="111"/>
      <c r="K115" s="76"/>
      <c r="L115" s="75"/>
      <c r="M115" s="75"/>
      <c r="AG115" s="75"/>
      <c r="AH115" s="75"/>
    </row>
    <row r="116" spans="1:117" ht="129" customHeight="1" x14ac:dyDescent="0.3">
      <c r="A116" s="138" t="s">
        <v>56</v>
      </c>
      <c r="B116" s="11">
        <v>905</v>
      </c>
      <c r="C116" s="12" t="s">
        <v>123</v>
      </c>
      <c r="D116" s="6" t="s">
        <v>116</v>
      </c>
      <c r="E116" s="12" t="s">
        <v>40</v>
      </c>
      <c r="F116" s="12" t="s">
        <v>57</v>
      </c>
      <c r="G116" s="53">
        <f>CS116+DM116</f>
        <v>202.09199999999998</v>
      </c>
      <c r="H116" s="111"/>
      <c r="I116" s="112"/>
      <c r="J116" s="111"/>
      <c r="K116" s="76"/>
      <c r="L116" s="75"/>
      <c r="M116" s="75"/>
      <c r="AG116" s="75"/>
      <c r="AH116" s="75"/>
      <c r="CP116" s="251">
        <v>62.101410000000001</v>
      </c>
      <c r="CS116" s="255">
        <v>157.19999999999999</v>
      </c>
      <c r="DM116" s="187">
        <v>44.892000000000003</v>
      </c>
    </row>
    <row r="117" spans="1:117" ht="37.5" x14ac:dyDescent="0.3">
      <c r="A117" s="138" t="s">
        <v>425</v>
      </c>
      <c r="B117" s="11">
        <v>905</v>
      </c>
      <c r="C117" s="12" t="s">
        <v>123</v>
      </c>
      <c r="D117" s="6" t="s">
        <v>116</v>
      </c>
      <c r="E117" s="12" t="s">
        <v>40</v>
      </c>
      <c r="F117" s="12" t="s">
        <v>59</v>
      </c>
      <c r="G117" s="53">
        <f>CS117+DD117+DL117+DM117</f>
        <v>244.43200000000002</v>
      </c>
      <c r="H117" s="120">
        <v>514.6</v>
      </c>
      <c r="I117" s="121"/>
      <c r="J117" s="120"/>
      <c r="K117" s="76"/>
      <c r="L117" s="75"/>
      <c r="M117" s="75"/>
      <c r="AE117">
        <v>5.65</v>
      </c>
      <c r="AG117" s="75"/>
      <c r="AH117" s="75">
        <v>5.65</v>
      </c>
      <c r="AK117" s="75">
        <v>540.5</v>
      </c>
      <c r="BL117" s="187">
        <v>34.799999999999997</v>
      </c>
      <c r="BM117" s="95">
        <v>384.2</v>
      </c>
      <c r="CP117" s="251">
        <f>100+-62.10141</f>
        <v>37.898589999999999</v>
      </c>
      <c r="CS117" s="255">
        <v>209.8</v>
      </c>
      <c r="DD117" s="187">
        <v>45.5</v>
      </c>
      <c r="DL117" s="260">
        <v>34.024000000000001</v>
      </c>
      <c r="DM117" s="187">
        <v>-44.892000000000003</v>
      </c>
    </row>
    <row r="118" spans="1:117" ht="28.5" customHeight="1" outlineLevel="1" x14ac:dyDescent="0.3">
      <c r="A118" s="138" t="s">
        <v>64</v>
      </c>
      <c r="B118" s="11">
        <v>905</v>
      </c>
      <c r="C118" s="12" t="s">
        <v>123</v>
      </c>
      <c r="D118" s="6" t="s">
        <v>116</v>
      </c>
      <c r="E118" s="12" t="s">
        <v>65</v>
      </c>
      <c r="F118" s="12" t="s">
        <v>50</v>
      </c>
      <c r="G118" s="53">
        <f>G119+G120</f>
        <v>2.4</v>
      </c>
      <c r="H118" s="111"/>
      <c r="I118" s="112"/>
      <c r="J118" s="111"/>
      <c r="K118" s="76"/>
      <c r="L118" s="75"/>
      <c r="M118" s="75"/>
      <c r="AG118" s="75"/>
      <c r="AH118" s="75"/>
    </row>
    <row r="119" spans="1:117" ht="37.5" outlineLevel="1" x14ac:dyDescent="0.3">
      <c r="A119" s="138" t="s">
        <v>58</v>
      </c>
      <c r="B119" s="11">
        <v>905</v>
      </c>
      <c r="C119" s="12" t="s">
        <v>123</v>
      </c>
      <c r="D119" s="6" t="s">
        <v>116</v>
      </c>
      <c r="E119" s="12" t="s">
        <v>65</v>
      </c>
      <c r="F119" s="12" t="s">
        <v>59</v>
      </c>
      <c r="G119" s="53">
        <f>CV119</f>
        <v>2.4</v>
      </c>
      <c r="H119" s="111"/>
      <c r="I119" s="112"/>
      <c r="J119" s="111"/>
      <c r="K119" s="76"/>
      <c r="L119" s="75"/>
      <c r="M119" s="75"/>
      <c r="AG119" s="75"/>
      <c r="AH119" s="75"/>
      <c r="CJ119" s="187">
        <v>20</v>
      </c>
      <c r="CV119" s="259">
        <v>2.4</v>
      </c>
    </row>
    <row r="120" spans="1:117" hidden="1" outlineLevel="1" x14ac:dyDescent="0.3">
      <c r="A120" s="138" t="s">
        <v>60</v>
      </c>
      <c r="B120" s="11">
        <v>905</v>
      </c>
      <c r="C120" s="12" t="s">
        <v>123</v>
      </c>
      <c r="D120" s="6" t="s">
        <v>116</v>
      </c>
      <c r="E120" s="12" t="s">
        <v>65</v>
      </c>
      <c r="F120" s="12" t="s">
        <v>61</v>
      </c>
      <c r="G120" s="53"/>
      <c r="H120" s="111"/>
      <c r="I120" s="112"/>
      <c r="J120" s="111"/>
      <c r="K120" s="76"/>
      <c r="L120" s="75"/>
      <c r="M120" s="75"/>
      <c r="AG120" s="75"/>
      <c r="AH120" s="75"/>
    </row>
    <row r="121" spans="1:117" ht="37.5" hidden="1" x14ac:dyDescent="0.3">
      <c r="A121" s="160" t="s">
        <v>633</v>
      </c>
      <c r="B121" s="11">
        <v>905</v>
      </c>
      <c r="C121" s="12" t="s">
        <v>123</v>
      </c>
      <c r="D121" s="6" t="s">
        <v>116</v>
      </c>
      <c r="E121" s="12" t="s">
        <v>634</v>
      </c>
      <c r="F121" s="12" t="s">
        <v>50</v>
      </c>
      <c r="G121" s="53">
        <f>G122</f>
        <v>0</v>
      </c>
      <c r="H121" s="111"/>
      <c r="I121" s="112"/>
      <c r="J121" s="111"/>
      <c r="K121" s="76"/>
      <c r="L121" s="75"/>
      <c r="M121" s="75"/>
      <c r="AG121" s="75"/>
      <c r="AH121" s="75"/>
    </row>
    <row r="122" spans="1:117" hidden="1" x14ac:dyDescent="0.3">
      <c r="A122" s="160" t="s">
        <v>637</v>
      </c>
      <c r="B122" s="11">
        <v>905</v>
      </c>
      <c r="C122" s="12" t="s">
        <v>123</v>
      </c>
      <c r="D122" s="6" t="s">
        <v>116</v>
      </c>
      <c r="E122" s="12" t="s">
        <v>638</v>
      </c>
      <c r="F122" s="12" t="s">
        <v>50</v>
      </c>
      <c r="G122" s="53">
        <f>G123</f>
        <v>0</v>
      </c>
      <c r="H122" s="111"/>
      <c r="I122" s="112"/>
      <c r="J122" s="111"/>
      <c r="K122" s="76"/>
      <c r="L122" s="75"/>
      <c r="M122" s="75"/>
      <c r="AG122" s="75"/>
      <c r="AH122" s="75"/>
    </row>
    <row r="123" spans="1:117" ht="75" hidden="1" x14ac:dyDescent="0.3">
      <c r="A123" s="151" t="s">
        <v>249</v>
      </c>
      <c r="B123" s="11">
        <v>905</v>
      </c>
      <c r="C123" s="12" t="s">
        <v>123</v>
      </c>
      <c r="D123" s="6" t="s">
        <v>116</v>
      </c>
      <c r="E123" s="12" t="s">
        <v>639</v>
      </c>
      <c r="F123" s="12" t="s">
        <v>50</v>
      </c>
      <c r="G123" s="53">
        <f>G124</f>
        <v>0</v>
      </c>
      <c r="H123" s="111"/>
      <c r="I123" s="112"/>
      <c r="J123" s="111"/>
      <c r="K123" s="76"/>
      <c r="L123" s="75"/>
      <c r="M123" s="75"/>
      <c r="AG123" s="75"/>
      <c r="AH123" s="75"/>
    </row>
    <row r="124" spans="1:117" ht="99" hidden="1" customHeight="1" x14ac:dyDescent="0.3">
      <c r="A124" s="138" t="s">
        <v>622</v>
      </c>
      <c r="B124" s="11">
        <v>905</v>
      </c>
      <c r="C124" s="12" t="s">
        <v>123</v>
      </c>
      <c r="D124" s="6" t="s">
        <v>116</v>
      </c>
      <c r="E124" s="12" t="s">
        <v>623</v>
      </c>
      <c r="F124" s="12" t="s">
        <v>50</v>
      </c>
      <c r="G124" s="68">
        <f>G125</f>
        <v>0</v>
      </c>
      <c r="H124" s="111"/>
      <c r="I124" s="112"/>
      <c r="J124" s="111"/>
      <c r="K124" s="76"/>
      <c r="L124" s="75"/>
      <c r="M124" s="75"/>
      <c r="AG124" s="75"/>
      <c r="AH124" s="75"/>
    </row>
    <row r="125" spans="1:117" ht="41.25" hidden="1" customHeight="1" x14ac:dyDescent="0.3">
      <c r="A125" s="138" t="s">
        <v>425</v>
      </c>
      <c r="B125" s="11">
        <v>905</v>
      </c>
      <c r="C125" s="12" t="s">
        <v>123</v>
      </c>
      <c r="D125" s="6" t="s">
        <v>116</v>
      </c>
      <c r="E125" s="12" t="s">
        <v>623</v>
      </c>
      <c r="F125" s="12" t="s">
        <v>59</v>
      </c>
      <c r="G125" s="68">
        <v>0</v>
      </c>
      <c r="H125" s="111"/>
      <c r="I125" s="112"/>
      <c r="J125" s="111"/>
      <c r="K125" s="76"/>
      <c r="L125" s="75"/>
      <c r="M125" s="75"/>
      <c r="AG125" s="75"/>
      <c r="AH125" s="75"/>
      <c r="AK125" s="75">
        <v>0</v>
      </c>
    </row>
    <row r="126" spans="1:117" ht="120.75" hidden="1" customHeight="1" x14ac:dyDescent="0.3">
      <c r="A126" s="138" t="s">
        <v>636</v>
      </c>
      <c r="B126" s="11">
        <v>905</v>
      </c>
      <c r="C126" s="12" t="s">
        <v>123</v>
      </c>
      <c r="D126" s="6" t="s">
        <v>116</v>
      </c>
      <c r="E126" s="12" t="s">
        <v>641</v>
      </c>
      <c r="F126" s="12" t="s">
        <v>50</v>
      </c>
      <c r="G126" s="53">
        <f>G127</f>
        <v>0</v>
      </c>
      <c r="H126" s="111"/>
      <c r="I126" s="112"/>
      <c r="J126" s="111"/>
      <c r="K126" s="76"/>
      <c r="L126" s="75"/>
      <c r="M126" s="75"/>
      <c r="AG126" s="75"/>
      <c r="AH126" s="75"/>
    </row>
    <row r="127" spans="1:117" ht="37.5" hidden="1" x14ac:dyDescent="0.3">
      <c r="A127" s="138" t="s">
        <v>425</v>
      </c>
      <c r="B127" s="11">
        <v>905</v>
      </c>
      <c r="C127" s="12" t="s">
        <v>123</v>
      </c>
      <c r="D127" s="6" t="s">
        <v>116</v>
      </c>
      <c r="E127" s="12" t="s">
        <v>641</v>
      </c>
      <c r="F127" s="12" t="s">
        <v>59</v>
      </c>
      <c r="G127" s="53">
        <v>0</v>
      </c>
      <c r="H127" s="111"/>
      <c r="I127" s="112"/>
      <c r="J127" s="111"/>
      <c r="K127" s="76"/>
      <c r="L127" s="75"/>
      <c r="M127" s="75"/>
      <c r="AG127" s="75"/>
      <c r="AH127" s="75"/>
      <c r="AK127" s="75">
        <v>0</v>
      </c>
    </row>
    <row r="128" spans="1:117" ht="37.5" x14ac:dyDescent="0.3">
      <c r="A128" s="138" t="s">
        <v>68</v>
      </c>
      <c r="B128" s="11">
        <v>905</v>
      </c>
      <c r="C128" s="12" t="s">
        <v>123</v>
      </c>
      <c r="D128" s="6" t="s">
        <v>116</v>
      </c>
      <c r="E128" s="12" t="s">
        <v>852</v>
      </c>
      <c r="F128" s="12" t="s">
        <v>50</v>
      </c>
      <c r="G128" s="53">
        <f>G129+G138+G135+G140+G143</f>
        <v>200623</v>
      </c>
      <c r="H128" s="111"/>
      <c r="I128" s="112"/>
      <c r="J128" s="111"/>
      <c r="K128" s="76"/>
      <c r="L128" s="75"/>
      <c r="M128" s="75"/>
      <c r="AG128" s="75"/>
      <c r="AH128" s="75"/>
    </row>
    <row r="129" spans="1:117" ht="94.5" customHeight="1" x14ac:dyDescent="0.3">
      <c r="A129" s="138" t="s">
        <v>76</v>
      </c>
      <c r="B129" s="11">
        <v>905</v>
      </c>
      <c r="C129" s="12" t="s">
        <v>123</v>
      </c>
      <c r="D129" s="6" t="s">
        <v>116</v>
      </c>
      <c r="E129" s="12" t="s">
        <v>853</v>
      </c>
      <c r="F129" s="12" t="s">
        <v>50</v>
      </c>
      <c r="G129" s="53">
        <f>G130+G131+G132+G133+G134</f>
        <v>198354</v>
      </c>
      <c r="H129" s="111"/>
      <c r="I129" s="112"/>
      <c r="J129" s="111"/>
      <c r="K129" s="76"/>
      <c r="L129" s="75"/>
      <c r="M129" s="75"/>
      <c r="AG129" s="75"/>
      <c r="AH129" s="75"/>
    </row>
    <row r="130" spans="1:117" ht="93.75" x14ac:dyDescent="0.3">
      <c r="A130" s="138" t="s">
        <v>56</v>
      </c>
      <c r="B130" s="11">
        <v>905</v>
      </c>
      <c r="C130" s="12" t="s">
        <v>123</v>
      </c>
      <c r="D130" s="6" t="s">
        <v>116</v>
      </c>
      <c r="E130" s="12" t="s">
        <v>853</v>
      </c>
      <c r="F130" s="12" t="s">
        <v>57</v>
      </c>
      <c r="G130" s="68">
        <f>140057+CW130+DI130+DM130</f>
        <v>153876</v>
      </c>
      <c r="H130" s="111"/>
      <c r="I130" s="112">
        <f>92884+4670</f>
        <v>97554</v>
      </c>
      <c r="J130" s="111"/>
      <c r="K130" s="76"/>
      <c r="L130" s="75"/>
      <c r="M130" s="75">
        <v>-140.9</v>
      </c>
      <c r="W130">
        <v>-0.55000000000000004</v>
      </c>
      <c r="AG130" s="75">
        <f>-783</f>
        <v>-783</v>
      </c>
      <c r="AH130" s="75"/>
      <c r="AK130" s="75">
        <f>86427.1-0.7</f>
        <v>86426.400000000009</v>
      </c>
      <c r="AP130" s="146">
        <v>8308</v>
      </c>
      <c r="BK130" s="218">
        <v>1796</v>
      </c>
      <c r="BO130" s="230">
        <v>115012.2</v>
      </c>
      <c r="BY130" s="146">
        <v>10175</v>
      </c>
      <c r="CI130" s="187">
        <v>4794</v>
      </c>
      <c r="CQ130" s="94">
        <v>179274</v>
      </c>
      <c r="CW130" s="259">
        <v>11207</v>
      </c>
      <c r="DI130" s="260">
        <v>3642</v>
      </c>
      <c r="DM130" s="187">
        <v>-1030</v>
      </c>
    </row>
    <row r="131" spans="1:117" ht="37.5" x14ac:dyDescent="0.3">
      <c r="A131" s="138" t="s">
        <v>425</v>
      </c>
      <c r="B131" s="11">
        <v>905</v>
      </c>
      <c r="C131" s="12" t="s">
        <v>123</v>
      </c>
      <c r="D131" s="6" t="s">
        <v>116</v>
      </c>
      <c r="E131" s="12" t="s">
        <v>853</v>
      </c>
      <c r="F131" s="12" t="s">
        <v>59</v>
      </c>
      <c r="G131" s="53">
        <f>1973+CW131</f>
        <v>4719</v>
      </c>
      <c r="H131" s="120"/>
      <c r="I131" s="121">
        <v>1932</v>
      </c>
      <c r="J131" s="120"/>
      <c r="K131" s="76"/>
      <c r="L131" s="75"/>
      <c r="M131" s="75">
        <v>66</v>
      </c>
      <c r="AG131" s="75">
        <v>-33</v>
      </c>
      <c r="AH131" s="75"/>
      <c r="AK131" s="75">
        <v>1898</v>
      </c>
      <c r="AP131" s="146">
        <v>-3</v>
      </c>
      <c r="BO131" s="230">
        <v>1979</v>
      </c>
      <c r="BY131" s="146">
        <v>-7</v>
      </c>
      <c r="CW131" s="259">
        <v>2746</v>
      </c>
    </row>
    <row r="132" spans="1:117" hidden="1" x14ac:dyDescent="0.3">
      <c r="A132" s="138" t="s">
        <v>60</v>
      </c>
      <c r="B132" s="11">
        <v>905</v>
      </c>
      <c r="C132" s="12" t="s">
        <v>123</v>
      </c>
      <c r="D132" s="6" t="s">
        <v>116</v>
      </c>
      <c r="E132" s="12" t="s">
        <v>41</v>
      </c>
      <c r="F132" s="12" t="s">
        <v>61</v>
      </c>
      <c r="G132" s="53">
        <v>0</v>
      </c>
      <c r="H132" s="111"/>
      <c r="I132" s="112"/>
      <c r="J132" s="111"/>
      <c r="K132" s="76"/>
      <c r="L132" s="75"/>
      <c r="M132" s="75"/>
      <c r="AG132" s="75"/>
      <c r="AH132" s="75"/>
    </row>
    <row r="133" spans="1:117" ht="56.25" x14ac:dyDescent="0.3">
      <c r="A133" s="138" t="s">
        <v>264</v>
      </c>
      <c r="B133" s="11">
        <v>905</v>
      </c>
      <c r="C133" s="12" t="s">
        <v>123</v>
      </c>
      <c r="D133" s="6" t="s">
        <v>116</v>
      </c>
      <c r="E133" s="12" t="s">
        <v>853</v>
      </c>
      <c r="F133" s="12" t="s">
        <v>261</v>
      </c>
      <c r="G133" s="53">
        <f>DI133+37244+DM133</f>
        <v>39759</v>
      </c>
      <c r="H133" s="120"/>
      <c r="I133" s="121">
        <v>29478</v>
      </c>
      <c r="J133" s="120"/>
      <c r="K133" s="76"/>
      <c r="L133" s="75">
        <v>26466</v>
      </c>
      <c r="M133" s="75">
        <v>74.900000000000006</v>
      </c>
      <c r="AG133" s="75">
        <v>47</v>
      </c>
      <c r="AH133" s="75"/>
      <c r="AK133" s="75">
        <v>26462.9</v>
      </c>
      <c r="AP133" s="146">
        <v>3459</v>
      </c>
      <c r="BO133" s="230">
        <v>32159.8</v>
      </c>
      <c r="CI133" s="187">
        <v>828</v>
      </c>
      <c r="DI133" s="260">
        <v>1485</v>
      </c>
      <c r="DM133" s="187">
        <v>1030</v>
      </c>
    </row>
    <row r="134" spans="1:117" hidden="1" x14ac:dyDescent="0.3">
      <c r="A134" s="138" t="s">
        <v>60</v>
      </c>
      <c r="B134" s="11">
        <v>905</v>
      </c>
      <c r="C134" s="12" t="s">
        <v>123</v>
      </c>
      <c r="D134" s="6" t="s">
        <v>116</v>
      </c>
      <c r="E134" s="12" t="s">
        <v>41</v>
      </c>
      <c r="F134" s="12" t="s">
        <v>61</v>
      </c>
      <c r="G134" s="53">
        <v>0</v>
      </c>
      <c r="H134" s="111"/>
      <c r="I134" s="112"/>
      <c r="J134" s="111"/>
      <c r="K134" s="76"/>
      <c r="L134" s="75"/>
      <c r="M134" s="75"/>
      <c r="W134">
        <v>0.55000000000000004</v>
      </c>
      <c r="AG134" s="75"/>
      <c r="AH134" s="75"/>
      <c r="AK134" s="75">
        <v>0</v>
      </c>
    </row>
    <row r="135" spans="1:117" ht="57" customHeight="1" x14ac:dyDescent="0.3">
      <c r="A135" s="138" t="s">
        <v>688</v>
      </c>
      <c r="B135" s="11">
        <v>905</v>
      </c>
      <c r="C135" s="12" t="s">
        <v>123</v>
      </c>
      <c r="D135" s="6" t="s">
        <v>116</v>
      </c>
      <c r="E135" s="12" t="s">
        <v>875</v>
      </c>
      <c r="F135" s="12" t="s">
        <v>50</v>
      </c>
      <c r="G135" s="53">
        <f>G136+G137</f>
        <v>1277.5999999999999</v>
      </c>
      <c r="H135" s="111"/>
      <c r="I135" s="112"/>
      <c r="J135" s="111"/>
      <c r="K135" s="76"/>
      <c r="L135" s="75"/>
      <c r="M135" s="75"/>
      <c r="AG135" s="75"/>
      <c r="AH135" s="75"/>
    </row>
    <row r="136" spans="1:117" ht="37.5" x14ac:dyDescent="0.3">
      <c r="A136" s="138" t="s">
        <v>425</v>
      </c>
      <c r="B136" s="11">
        <v>905</v>
      </c>
      <c r="C136" s="12" t="s">
        <v>123</v>
      </c>
      <c r="D136" s="6" t="s">
        <v>116</v>
      </c>
      <c r="E136" s="12" t="s">
        <v>875</v>
      </c>
      <c r="F136" s="12" t="s">
        <v>59</v>
      </c>
      <c r="G136" s="53">
        <f>-130.6+704.1</f>
        <v>573.5</v>
      </c>
      <c r="H136" s="111"/>
      <c r="I136" s="112">
        <v>633.6</v>
      </c>
      <c r="J136" s="111"/>
      <c r="K136" s="76"/>
      <c r="L136" s="75"/>
      <c r="M136" s="75"/>
      <c r="AG136" s="75"/>
      <c r="AH136" s="75"/>
      <c r="AO136" s="145">
        <v>134.5</v>
      </c>
      <c r="BK136" s="218">
        <v>-350.1</v>
      </c>
      <c r="BO136" s="230">
        <v>768.1</v>
      </c>
      <c r="CQ136" s="94">
        <v>1408.2</v>
      </c>
    </row>
    <row r="137" spans="1:117" ht="56.25" x14ac:dyDescent="0.3">
      <c r="A137" s="138" t="s">
        <v>264</v>
      </c>
      <c r="B137" s="11">
        <v>905</v>
      </c>
      <c r="C137" s="12" t="s">
        <v>123</v>
      </c>
      <c r="D137" s="6" t="s">
        <v>116</v>
      </c>
      <c r="E137" s="12" t="s">
        <v>875</v>
      </c>
      <c r="F137" s="12" t="s">
        <v>261</v>
      </c>
      <c r="G137" s="53">
        <v>704.1</v>
      </c>
      <c r="H137" s="111"/>
      <c r="I137" s="112">
        <v>633.6</v>
      </c>
      <c r="J137" s="111"/>
      <c r="K137" s="76"/>
      <c r="L137" s="75"/>
      <c r="M137" s="75"/>
      <c r="AG137" s="75"/>
      <c r="AH137" s="75"/>
      <c r="AO137" s="145">
        <v>134.5</v>
      </c>
      <c r="BK137" s="218">
        <v>-271.60000000000002</v>
      </c>
      <c r="BO137" s="230">
        <v>768.1</v>
      </c>
    </row>
    <row r="138" spans="1:117" ht="56.25" hidden="1" x14ac:dyDescent="0.3">
      <c r="A138" s="161" t="s">
        <v>132</v>
      </c>
      <c r="B138" s="11">
        <v>905</v>
      </c>
      <c r="C138" s="12" t="s">
        <v>123</v>
      </c>
      <c r="D138" s="6" t="s">
        <v>116</v>
      </c>
      <c r="E138" s="18" t="s">
        <v>876</v>
      </c>
      <c r="F138" s="18" t="s">
        <v>50</v>
      </c>
      <c r="G138" s="53">
        <f>G139</f>
        <v>0</v>
      </c>
      <c r="H138" s="111"/>
      <c r="I138" s="112"/>
      <c r="J138" s="111"/>
      <c r="K138" s="76"/>
      <c r="L138" s="75"/>
      <c r="M138" s="75"/>
      <c r="AG138" s="75"/>
      <c r="AH138" s="75"/>
    </row>
    <row r="139" spans="1:117" ht="93.75" hidden="1" x14ac:dyDescent="0.3">
      <c r="A139" s="138" t="s">
        <v>56</v>
      </c>
      <c r="B139" s="11">
        <v>905</v>
      </c>
      <c r="C139" s="12" t="s">
        <v>123</v>
      </c>
      <c r="D139" s="6" t="s">
        <v>116</v>
      </c>
      <c r="E139" s="18" t="s">
        <v>876</v>
      </c>
      <c r="F139" s="12" t="s">
        <v>57</v>
      </c>
      <c r="G139" s="53">
        <v>0</v>
      </c>
      <c r="H139" s="120"/>
      <c r="I139" s="121">
        <v>6320.8</v>
      </c>
      <c r="J139" s="120"/>
      <c r="K139" s="76"/>
      <c r="L139" s="75"/>
      <c r="M139" s="75"/>
      <c r="AG139" s="75">
        <v>2957.1</v>
      </c>
      <c r="AH139" s="75"/>
      <c r="AK139" s="75">
        <v>5914.2</v>
      </c>
      <c r="BK139" s="218">
        <v>2702.3</v>
      </c>
      <c r="BO139" s="230">
        <v>6070.3</v>
      </c>
    </row>
    <row r="140" spans="1:117" ht="38.25" customHeight="1" x14ac:dyDescent="0.3">
      <c r="A140" s="138" t="s">
        <v>769</v>
      </c>
      <c r="B140" s="11">
        <v>905</v>
      </c>
      <c r="C140" s="12" t="s">
        <v>123</v>
      </c>
      <c r="D140" s="6" t="s">
        <v>116</v>
      </c>
      <c r="E140" s="12" t="s">
        <v>877</v>
      </c>
      <c r="F140" s="12" t="s">
        <v>50</v>
      </c>
      <c r="G140" s="53">
        <f>G141+G142</f>
        <v>806.40000000000009</v>
      </c>
      <c r="H140" s="120"/>
      <c r="I140" s="121"/>
      <c r="J140" s="120"/>
      <c r="K140" s="76"/>
      <c r="L140" s="75"/>
      <c r="M140" s="75"/>
      <c r="AG140" s="75"/>
      <c r="AH140" s="75"/>
    </row>
    <row r="141" spans="1:117" ht="38.25" customHeight="1" x14ac:dyDescent="0.3">
      <c r="A141" s="138" t="s">
        <v>425</v>
      </c>
      <c r="B141" s="11">
        <v>905</v>
      </c>
      <c r="C141" s="12" t="s">
        <v>123</v>
      </c>
      <c r="D141" s="6" t="s">
        <v>116</v>
      </c>
      <c r="E141" s="12" t="s">
        <v>877</v>
      </c>
      <c r="F141" s="12" t="s">
        <v>59</v>
      </c>
      <c r="G141" s="53">
        <v>590.20000000000005</v>
      </c>
      <c r="H141" s="120"/>
      <c r="I141" s="121">
        <v>47.3</v>
      </c>
      <c r="J141" s="120"/>
      <c r="K141" s="76"/>
      <c r="L141" s="75"/>
      <c r="M141" s="75"/>
      <c r="AG141" s="75"/>
      <c r="AH141" s="75"/>
      <c r="AO141" s="145">
        <v>42.1</v>
      </c>
      <c r="BH141" s="225">
        <v>-44.236499999999999</v>
      </c>
      <c r="BK141" s="218">
        <v>101.1</v>
      </c>
      <c r="BO141" s="230">
        <v>268.39999999999998</v>
      </c>
      <c r="BY141" s="146">
        <v>114.9</v>
      </c>
      <c r="CB141" s="218">
        <v>19.62</v>
      </c>
      <c r="CI141" s="187">
        <v>77.5</v>
      </c>
      <c r="CQ141" s="94">
        <v>806.4</v>
      </c>
    </row>
    <row r="142" spans="1:117" ht="48.75" customHeight="1" x14ac:dyDescent="0.3">
      <c r="A142" s="138" t="s">
        <v>264</v>
      </c>
      <c r="B142" s="11">
        <v>905</v>
      </c>
      <c r="C142" s="12" t="s">
        <v>123</v>
      </c>
      <c r="D142" s="6" t="s">
        <v>116</v>
      </c>
      <c r="E142" s="12" t="s">
        <v>877</v>
      </c>
      <c r="F142" s="12" t="s">
        <v>261</v>
      </c>
      <c r="G142" s="53">
        <v>216.2</v>
      </c>
      <c r="H142" s="120"/>
      <c r="I142" s="121">
        <v>28.3</v>
      </c>
      <c r="J142" s="120"/>
      <c r="K142" s="76"/>
      <c r="L142" s="75"/>
      <c r="M142" s="75"/>
      <c r="AG142" s="75"/>
      <c r="AH142" s="75"/>
      <c r="AO142" s="145">
        <v>6.6</v>
      </c>
      <c r="BC142" s="218">
        <v>197.8</v>
      </c>
      <c r="BH142" s="225">
        <v>44.236499999999999</v>
      </c>
      <c r="CB142" s="218">
        <v>-19.62</v>
      </c>
      <c r="CI142" s="187">
        <v>76.099999999999994</v>
      </c>
    </row>
    <row r="143" spans="1:117" ht="120" customHeight="1" x14ac:dyDescent="0.3">
      <c r="A143" s="138" t="s">
        <v>948</v>
      </c>
      <c r="B143" s="11">
        <v>905</v>
      </c>
      <c r="C143" s="12" t="s">
        <v>123</v>
      </c>
      <c r="D143" s="6" t="s">
        <v>116</v>
      </c>
      <c r="E143" s="12" t="s">
        <v>949</v>
      </c>
      <c r="F143" s="12" t="s">
        <v>50</v>
      </c>
      <c r="G143" s="53">
        <f>G144+G145</f>
        <v>185</v>
      </c>
      <c r="H143" s="120"/>
      <c r="I143" s="121"/>
      <c r="J143" s="120"/>
      <c r="K143" s="76"/>
      <c r="L143" s="75"/>
      <c r="M143" s="75"/>
      <c r="AG143" s="75"/>
      <c r="AH143" s="75"/>
      <c r="DI143" s="260">
        <v>45</v>
      </c>
    </row>
    <row r="144" spans="1:117" ht="48.75" customHeight="1" x14ac:dyDescent="0.3">
      <c r="A144" s="138" t="s">
        <v>425</v>
      </c>
      <c r="B144" s="11">
        <v>905</v>
      </c>
      <c r="C144" s="12" t="s">
        <v>123</v>
      </c>
      <c r="D144" s="6" t="s">
        <v>116</v>
      </c>
      <c r="E144" s="12" t="s">
        <v>949</v>
      </c>
      <c r="F144" s="12" t="s">
        <v>59</v>
      </c>
      <c r="G144" s="53">
        <f>DI143</f>
        <v>45</v>
      </c>
      <c r="H144" s="120"/>
      <c r="I144" s="121"/>
      <c r="J144" s="120"/>
      <c r="K144" s="76"/>
      <c r="L144" s="75"/>
      <c r="M144" s="75"/>
      <c r="AG144" s="75"/>
      <c r="AH144" s="75"/>
      <c r="DI144" s="260">
        <v>140</v>
      </c>
    </row>
    <row r="145" spans="1:103" ht="48.75" customHeight="1" x14ac:dyDescent="0.3">
      <c r="A145" s="138" t="s">
        <v>264</v>
      </c>
      <c r="B145" s="11">
        <v>905</v>
      </c>
      <c r="C145" s="12" t="s">
        <v>123</v>
      </c>
      <c r="D145" s="6" t="s">
        <v>116</v>
      </c>
      <c r="E145" s="12" t="s">
        <v>949</v>
      </c>
      <c r="F145" s="12" t="s">
        <v>261</v>
      </c>
      <c r="G145" s="53">
        <f>DI144</f>
        <v>140</v>
      </c>
      <c r="H145" s="120"/>
      <c r="I145" s="121"/>
      <c r="J145" s="120"/>
      <c r="K145" s="76"/>
      <c r="L145" s="75"/>
      <c r="M145" s="75"/>
      <c r="AG145" s="75"/>
      <c r="AH145" s="75"/>
    </row>
    <row r="146" spans="1:103" ht="104.25" customHeight="1" x14ac:dyDescent="0.3">
      <c r="A146" s="138" t="s">
        <v>944</v>
      </c>
      <c r="B146" s="11">
        <v>905</v>
      </c>
      <c r="C146" s="12" t="s">
        <v>123</v>
      </c>
      <c r="D146" s="6" t="s">
        <v>116</v>
      </c>
      <c r="E146" s="12" t="s">
        <v>981</v>
      </c>
      <c r="F146" s="12" t="s">
        <v>50</v>
      </c>
      <c r="G146" s="53">
        <f>G147+G148</f>
        <v>539.1</v>
      </c>
      <c r="H146" s="120"/>
      <c r="I146" s="121"/>
      <c r="J146" s="120"/>
      <c r="K146" s="76"/>
      <c r="L146" s="75"/>
      <c r="M146" s="75"/>
      <c r="AG146" s="75"/>
      <c r="AH146" s="75"/>
    </row>
    <row r="147" spans="1:103" ht="111.75" customHeight="1" x14ac:dyDescent="0.3">
      <c r="A147" s="138" t="s">
        <v>56</v>
      </c>
      <c r="B147" s="11">
        <v>905</v>
      </c>
      <c r="C147" s="12" t="s">
        <v>123</v>
      </c>
      <c r="D147" s="6" t="s">
        <v>116</v>
      </c>
      <c r="E147" s="12" t="s">
        <v>981</v>
      </c>
      <c r="F147" s="12" t="s">
        <v>57</v>
      </c>
      <c r="G147" s="53">
        <f>CT147</f>
        <v>449.25</v>
      </c>
      <c r="H147" s="120"/>
      <c r="I147" s="121"/>
      <c r="J147" s="120"/>
      <c r="K147" s="76"/>
      <c r="L147" s="75"/>
      <c r="M147" s="75"/>
      <c r="AG147" s="75"/>
      <c r="AH147" s="75"/>
      <c r="CK147" s="187">
        <v>149.9</v>
      </c>
      <c r="CT147" s="250">
        <v>449.25</v>
      </c>
    </row>
    <row r="148" spans="1:103" ht="54" customHeight="1" x14ac:dyDescent="0.3">
      <c r="A148" s="138" t="s">
        <v>264</v>
      </c>
      <c r="B148" s="11">
        <v>905</v>
      </c>
      <c r="C148" s="12" t="s">
        <v>123</v>
      </c>
      <c r="D148" s="6" t="s">
        <v>116</v>
      </c>
      <c r="E148" s="12" t="s">
        <v>981</v>
      </c>
      <c r="F148" s="12" t="s">
        <v>261</v>
      </c>
      <c r="G148" s="53">
        <f>CT148</f>
        <v>89.85</v>
      </c>
      <c r="H148" s="120"/>
      <c r="I148" s="121"/>
      <c r="J148" s="120"/>
      <c r="K148" s="76"/>
      <c r="L148" s="75"/>
      <c r="M148" s="75"/>
      <c r="AG148" s="75"/>
      <c r="AH148" s="75"/>
      <c r="CT148" s="250">
        <v>89.85</v>
      </c>
    </row>
    <row r="149" spans="1:103" ht="56.25" x14ac:dyDescent="0.3">
      <c r="A149" s="138" t="s">
        <v>477</v>
      </c>
      <c r="B149" s="11">
        <v>905</v>
      </c>
      <c r="C149" s="12" t="s">
        <v>123</v>
      </c>
      <c r="D149" s="6" t="s">
        <v>116</v>
      </c>
      <c r="E149" s="12" t="s">
        <v>1162</v>
      </c>
      <c r="F149" s="12" t="s">
        <v>50</v>
      </c>
      <c r="G149" s="53">
        <f>G150+G151</f>
        <v>24975</v>
      </c>
      <c r="H149" s="111"/>
      <c r="I149" s="112"/>
      <c r="J149" s="111"/>
      <c r="K149" s="76"/>
      <c r="L149" s="75"/>
      <c r="M149" s="75"/>
      <c r="AG149" s="75"/>
      <c r="AH149" s="75"/>
    </row>
    <row r="150" spans="1:103" ht="93.75" x14ac:dyDescent="0.3">
      <c r="A150" s="138" t="s">
        <v>56</v>
      </c>
      <c r="B150" s="11">
        <v>905</v>
      </c>
      <c r="C150" s="12" t="s">
        <v>123</v>
      </c>
      <c r="D150" s="6" t="s">
        <v>116</v>
      </c>
      <c r="E150" s="12" t="s">
        <v>1162</v>
      </c>
      <c r="F150" s="12" t="s">
        <v>57</v>
      </c>
      <c r="G150" s="53">
        <v>19764.400000000001</v>
      </c>
      <c r="H150" s="120"/>
      <c r="I150" s="121">
        <v>9972</v>
      </c>
      <c r="J150" s="120"/>
      <c r="K150" s="76">
        <v>359.4</v>
      </c>
      <c r="L150" s="75"/>
      <c r="M150" s="75"/>
      <c r="N150">
        <v>-79.2</v>
      </c>
      <c r="AG150" s="75"/>
      <c r="AH150" s="75"/>
      <c r="AK150" s="75">
        <v>9433</v>
      </c>
      <c r="BK150" s="218">
        <v>-730</v>
      </c>
      <c r="BO150" s="230">
        <v>12218</v>
      </c>
      <c r="CH150" s="250">
        <v>1477.3</v>
      </c>
      <c r="CI150" s="187">
        <v>6209.8</v>
      </c>
      <c r="CQ150" s="94">
        <v>24975</v>
      </c>
    </row>
    <row r="151" spans="1:103" ht="49.5" customHeight="1" x14ac:dyDescent="0.3">
      <c r="A151" s="138" t="s">
        <v>264</v>
      </c>
      <c r="B151" s="11">
        <v>905</v>
      </c>
      <c r="C151" s="12" t="s">
        <v>123</v>
      </c>
      <c r="D151" s="6" t="s">
        <v>116</v>
      </c>
      <c r="E151" s="12" t="s">
        <v>1162</v>
      </c>
      <c r="F151" s="12" t="s">
        <v>261</v>
      </c>
      <c r="G151" s="53">
        <v>5210.6000000000004</v>
      </c>
      <c r="H151" s="120"/>
      <c r="I151" s="121">
        <v>2605.3000000000002</v>
      </c>
      <c r="J151" s="120"/>
      <c r="K151" s="76"/>
      <c r="L151" s="75">
        <v>2615.9</v>
      </c>
      <c r="M151" s="75"/>
      <c r="N151">
        <v>79.2</v>
      </c>
      <c r="AG151" s="75"/>
      <c r="AH151" s="75"/>
      <c r="AK151" s="75">
        <v>2605.3000000000002</v>
      </c>
      <c r="CH151" s="250">
        <v>578.29999999999995</v>
      </c>
      <c r="CI151" s="187">
        <v>1751.5</v>
      </c>
    </row>
    <row r="152" spans="1:103" ht="75.75" customHeight="1" x14ac:dyDescent="0.3">
      <c r="A152" s="138" t="s">
        <v>611</v>
      </c>
      <c r="B152" s="11">
        <v>905</v>
      </c>
      <c r="C152" s="12" t="s">
        <v>123</v>
      </c>
      <c r="D152" s="6" t="s">
        <v>116</v>
      </c>
      <c r="E152" s="12" t="s">
        <v>869</v>
      </c>
      <c r="F152" s="12" t="s">
        <v>50</v>
      </c>
      <c r="G152" s="53">
        <f>G153+G154</f>
        <v>16443.5</v>
      </c>
      <c r="H152" s="111"/>
      <c r="I152" s="112"/>
      <c r="J152" s="111"/>
      <c r="K152" s="76"/>
      <c r="L152" s="75"/>
      <c r="M152" s="75"/>
      <c r="AG152" s="75"/>
      <c r="AH152" s="75"/>
    </row>
    <row r="153" spans="1:103" ht="37.5" x14ac:dyDescent="0.3">
      <c r="A153" s="138" t="s">
        <v>425</v>
      </c>
      <c r="B153" s="11">
        <v>905</v>
      </c>
      <c r="C153" s="12" t="s">
        <v>123</v>
      </c>
      <c r="D153" s="6" t="s">
        <v>116</v>
      </c>
      <c r="E153" s="12" t="s">
        <v>869</v>
      </c>
      <c r="F153" s="12" t="s">
        <v>59</v>
      </c>
      <c r="G153" s="53">
        <f>13179.9+CT153-9+CY153</f>
        <v>11814.6</v>
      </c>
      <c r="H153" s="120"/>
      <c r="I153" s="121">
        <v>12523.5</v>
      </c>
      <c r="J153" s="120">
        <f>125.9+0.7</f>
        <v>126.60000000000001</v>
      </c>
      <c r="K153" s="76">
        <v>1038.8</v>
      </c>
      <c r="L153" s="75"/>
      <c r="M153" s="75">
        <v>10.5</v>
      </c>
      <c r="N153">
        <v>-247.1</v>
      </c>
      <c r="AG153" s="75"/>
      <c r="AH153" s="75"/>
      <c r="AK153" s="75">
        <v>11775.8</v>
      </c>
      <c r="AO153" s="145">
        <v>11.1</v>
      </c>
      <c r="BD153" s="218">
        <v>-217.40164999999999</v>
      </c>
      <c r="BK153" s="218">
        <f>164.8+1.7</f>
        <v>166.5</v>
      </c>
      <c r="BO153" s="230">
        <v>16533</v>
      </c>
      <c r="BP153" s="231">
        <v>167</v>
      </c>
      <c r="BT153" s="146">
        <v>-296</v>
      </c>
      <c r="BU153" s="146">
        <v>-2.9</v>
      </c>
      <c r="CG153" s="187">
        <v>-678.83450000000005</v>
      </c>
      <c r="CQ153" s="94">
        <f>16874.9+171</f>
        <v>17045.900000000001</v>
      </c>
      <c r="CT153" s="250">
        <v>-1349.8</v>
      </c>
      <c r="CY153" s="187">
        <v>-6.5</v>
      </c>
    </row>
    <row r="154" spans="1:103" ht="46.5" customHeight="1" x14ac:dyDescent="0.3">
      <c r="A154" s="138" t="s">
        <v>264</v>
      </c>
      <c r="B154" s="11">
        <v>905</v>
      </c>
      <c r="C154" s="12" t="s">
        <v>123</v>
      </c>
      <c r="D154" s="6" t="s">
        <v>116</v>
      </c>
      <c r="E154" s="12" t="s">
        <v>869</v>
      </c>
      <c r="F154" s="12" t="s">
        <v>261</v>
      </c>
      <c r="G154" s="53">
        <f>3866+CT154+9</f>
        <v>4628.8999999999996</v>
      </c>
      <c r="H154" s="120"/>
      <c r="I154" s="121">
        <v>3682.4</v>
      </c>
      <c r="J154" s="120">
        <v>37.1</v>
      </c>
      <c r="K154" s="76"/>
      <c r="L154" s="75">
        <v>3028.6</v>
      </c>
      <c r="M154" s="75"/>
      <c r="N154">
        <v>247.1</v>
      </c>
      <c r="AG154" s="75"/>
      <c r="AH154" s="75"/>
      <c r="AK154" s="75">
        <v>3417.1</v>
      </c>
      <c r="AN154" s="145">
        <v>0.7</v>
      </c>
      <c r="AO154" s="145">
        <v>56.2</v>
      </c>
      <c r="BD154" s="218">
        <v>217.40164999999999</v>
      </c>
      <c r="CG154" s="187">
        <v>678.83450000000005</v>
      </c>
      <c r="CT154" s="250">
        <v>753.9</v>
      </c>
    </row>
    <row r="155" spans="1:103" ht="56.25" hidden="1" x14ac:dyDescent="0.3">
      <c r="A155" s="151" t="s">
        <v>0</v>
      </c>
      <c r="B155" s="11">
        <v>905</v>
      </c>
      <c r="C155" s="12" t="s">
        <v>123</v>
      </c>
      <c r="D155" s="6" t="s">
        <v>116</v>
      </c>
      <c r="E155" s="13" t="s">
        <v>92</v>
      </c>
      <c r="F155" s="12" t="s">
        <v>50</v>
      </c>
      <c r="G155" s="53">
        <f>G156</f>
        <v>0</v>
      </c>
      <c r="H155" s="111"/>
      <c r="I155" s="112"/>
      <c r="J155" s="111"/>
      <c r="K155" s="76"/>
      <c r="L155" s="75"/>
      <c r="M155" s="75"/>
      <c r="AG155" s="75"/>
      <c r="AH155" s="75"/>
    </row>
    <row r="156" spans="1:103" ht="75" hidden="1" x14ac:dyDescent="0.3">
      <c r="A156" s="151" t="s">
        <v>2</v>
      </c>
      <c r="B156" s="11">
        <v>905</v>
      </c>
      <c r="C156" s="12" t="s">
        <v>123</v>
      </c>
      <c r="D156" s="6" t="s">
        <v>116</v>
      </c>
      <c r="E156" s="13" t="s">
        <v>26</v>
      </c>
      <c r="F156" s="12" t="s">
        <v>50</v>
      </c>
      <c r="G156" s="53">
        <f>G157</f>
        <v>0</v>
      </c>
      <c r="H156" s="111"/>
      <c r="I156" s="112"/>
      <c r="J156" s="111"/>
      <c r="K156" s="76"/>
      <c r="L156" s="75"/>
      <c r="M156" s="75"/>
      <c r="AG156" s="75"/>
      <c r="AH156" s="75"/>
    </row>
    <row r="157" spans="1:103" hidden="1" x14ac:dyDescent="0.3">
      <c r="A157" s="171" t="s">
        <v>62</v>
      </c>
      <c r="B157" s="11">
        <v>905</v>
      </c>
      <c r="C157" s="12" t="s">
        <v>123</v>
      </c>
      <c r="D157" s="6" t="s">
        <v>116</v>
      </c>
      <c r="E157" s="29" t="s">
        <v>287</v>
      </c>
      <c r="F157" s="29" t="s">
        <v>50</v>
      </c>
      <c r="G157" s="53">
        <f>G158</f>
        <v>0</v>
      </c>
      <c r="H157" s="111"/>
      <c r="I157" s="112"/>
      <c r="J157" s="111"/>
      <c r="K157" s="76"/>
      <c r="L157" s="75"/>
      <c r="M157" s="75"/>
      <c r="AG157" s="75"/>
      <c r="AH157" s="75"/>
    </row>
    <row r="158" spans="1:103" hidden="1" x14ac:dyDescent="0.3">
      <c r="A158" s="171" t="s">
        <v>286</v>
      </c>
      <c r="B158" s="11">
        <v>905</v>
      </c>
      <c r="C158" s="12" t="s">
        <v>123</v>
      </c>
      <c r="D158" s="6" t="s">
        <v>116</v>
      </c>
      <c r="E158" s="29" t="s">
        <v>288</v>
      </c>
      <c r="F158" s="29" t="s">
        <v>50</v>
      </c>
      <c r="G158" s="53">
        <f>G159+G160</f>
        <v>0</v>
      </c>
      <c r="H158" s="111"/>
      <c r="I158" s="112"/>
      <c r="J158" s="111"/>
      <c r="K158" s="76"/>
      <c r="L158" s="75"/>
      <c r="M158" s="75"/>
      <c r="AG158" s="75"/>
      <c r="AH158" s="75"/>
    </row>
    <row r="159" spans="1:103" ht="93.75" hidden="1" x14ac:dyDescent="0.3">
      <c r="A159" s="138" t="s">
        <v>56</v>
      </c>
      <c r="B159" s="11">
        <v>905</v>
      </c>
      <c r="C159" s="12" t="s">
        <v>123</v>
      </c>
      <c r="D159" s="6" t="s">
        <v>116</v>
      </c>
      <c r="E159" s="12" t="s">
        <v>288</v>
      </c>
      <c r="F159" s="12" t="s">
        <v>57</v>
      </c>
      <c r="G159" s="53">
        <v>0</v>
      </c>
      <c r="H159" s="111"/>
      <c r="I159" s="112"/>
      <c r="J159" s="111"/>
      <c r="K159" s="76"/>
      <c r="L159" s="75"/>
      <c r="M159" s="75"/>
      <c r="T159">
        <v>90</v>
      </c>
      <c r="AG159" s="75"/>
      <c r="AH159" s="75"/>
      <c r="AK159" s="75">
        <v>0</v>
      </c>
      <c r="AV159" s="187">
        <v>266.34800000000001</v>
      </c>
    </row>
    <row r="160" spans="1:103" ht="48" hidden="1" customHeight="1" x14ac:dyDescent="0.3">
      <c r="A160" s="138" t="s">
        <v>264</v>
      </c>
      <c r="B160" s="11">
        <v>905</v>
      </c>
      <c r="C160" s="12" t="s">
        <v>123</v>
      </c>
      <c r="D160" s="6" t="s">
        <v>116</v>
      </c>
      <c r="E160" s="12" t="s">
        <v>288</v>
      </c>
      <c r="F160" s="12" t="s">
        <v>261</v>
      </c>
      <c r="G160" s="53">
        <v>0</v>
      </c>
      <c r="H160" s="111"/>
      <c r="I160" s="112"/>
      <c r="J160" s="111"/>
      <c r="K160" s="76"/>
      <c r="L160" s="75"/>
      <c r="M160" s="75"/>
      <c r="T160">
        <v>30</v>
      </c>
      <c r="AG160" s="75"/>
      <c r="AH160" s="75"/>
      <c r="AK160" s="75">
        <v>0</v>
      </c>
      <c r="AV160" s="187">
        <v>81.06</v>
      </c>
    </row>
    <row r="161" spans="1:103" ht="48" hidden="1" customHeight="1" x14ac:dyDescent="0.3">
      <c r="A161" s="151" t="s">
        <v>633</v>
      </c>
      <c r="B161" s="11">
        <v>905</v>
      </c>
      <c r="C161" s="12" t="s">
        <v>123</v>
      </c>
      <c r="D161" s="6" t="s">
        <v>116</v>
      </c>
      <c r="E161" s="12" t="s">
        <v>695</v>
      </c>
      <c r="F161" s="12" t="s">
        <v>50</v>
      </c>
      <c r="G161" s="53">
        <f>G162</f>
        <v>0</v>
      </c>
      <c r="H161" s="111"/>
      <c r="I161" s="112"/>
      <c r="J161" s="111"/>
      <c r="K161" s="76"/>
      <c r="L161" s="75"/>
      <c r="M161" s="75"/>
      <c r="AG161" s="75"/>
      <c r="AH161" s="75"/>
    </row>
    <row r="162" spans="1:103" ht="34.5" hidden="1" customHeight="1" x14ac:dyDescent="0.3">
      <c r="A162" s="138" t="s">
        <v>759</v>
      </c>
      <c r="B162" s="11">
        <v>905</v>
      </c>
      <c r="C162" s="12" t="s">
        <v>123</v>
      </c>
      <c r="D162" s="6" t="s">
        <v>116</v>
      </c>
      <c r="E162" s="12" t="s">
        <v>760</v>
      </c>
      <c r="F162" s="12" t="s">
        <v>50</v>
      </c>
      <c r="G162" s="53">
        <f>G163</f>
        <v>0</v>
      </c>
      <c r="H162" s="111"/>
      <c r="I162" s="112"/>
      <c r="J162" s="111"/>
      <c r="K162" s="76"/>
      <c r="L162" s="75"/>
      <c r="M162" s="75"/>
      <c r="AG162" s="75"/>
      <c r="AH162" s="75"/>
    </row>
    <row r="163" spans="1:103" ht="96" hidden="1" customHeight="1" x14ac:dyDescent="0.3">
      <c r="A163" s="201" t="s">
        <v>742</v>
      </c>
      <c r="B163" s="11">
        <v>905</v>
      </c>
      <c r="C163" s="12" t="s">
        <v>123</v>
      </c>
      <c r="D163" s="6" t="s">
        <v>116</v>
      </c>
      <c r="E163" s="12" t="s">
        <v>741</v>
      </c>
      <c r="F163" s="12" t="s">
        <v>50</v>
      </c>
      <c r="G163" s="53">
        <f>G164</f>
        <v>0</v>
      </c>
      <c r="H163" s="111"/>
      <c r="I163" s="112"/>
      <c r="J163" s="111"/>
      <c r="K163" s="76"/>
      <c r="L163" s="75"/>
      <c r="M163" s="75"/>
      <c r="AG163" s="75"/>
      <c r="AH163" s="75"/>
    </row>
    <row r="164" spans="1:103" ht="48" hidden="1" customHeight="1" x14ac:dyDescent="0.3">
      <c r="A164" s="138" t="s">
        <v>425</v>
      </c>
      <c r="B164" s="11">
        <v>905</v>
      </c>
      <c r="C164" s="12" t="s">
        <v>123</v>
      </c>
      <c r="D164" s="6" t="s">
        <v>116</v>
      </c>
      <c r="E164" s="12" t="s">
        <v>741</v>
      </c>
      <c r="F164" s="12" t="s">
        <v>59</v>
      </c>
      <c r="G164" s="53">
        <v>0</v>
      </c>
      <c r="H164" s="111"/>
      <c r="I164" s="112"/>
      <c r="J164" s="111"/>
      <c r="K164" s="76"/>
      <c r="L164" s="75"/>
      <c r="M164" s="75"/>
      <c r="AG164" s="75"/>
      <c r="AH164" s="75"/>
      <c r="AN164" s="145">
        <v>46.9</v>
      </c>
      <c r="AO164" s="145">
        <v>4635.6000000000004</v>
      </c>
      <c r="BT164" s="146">
        <v>3148</v>
      </c>
      <c r="BU164" s="146">
        <v>31.8</v>
      </c>
    </row>
    <row r="165" spans="1:103" ht="48" customHeight="1" x14ac:dyDescent="0.3">
      <c r="A165" s="151" t="s">
        <v>141</v>
      </c>
      <c r="B165" s="11">
        <v>905</v>
      </c>
      <c r="C165" s="12" t="s">
        <v>123</v>
      </c>
      <c r="D165" s="6" t="s">
        <v>116</v>
      </c>
      <c r="E165" s="12" t="s">
        <v>79</v>
      </c>
      <c r="F165" s="12" t="s">
        <v>50</v>
      </c>
      <c r="G165" s="53">
        <f>G166</f>
        <v>1530.8000000000002</v>
      </c>
      <c r="H165" s="111"/>
      <c r="I165" s="112"/>
      <c r="J165" s="111"/>
      <c r="K165" s="76"/>
      <c r="L165" s="75"/>
      <c r="M165" s="75"/>
      <c r="AG165" s="75"/>
      <c r="AH165" s="75"/>
    </row>
    <row r="166" spans="1:103" ht="42" customHeight="1" x14ac:dyDescent="0.3">
      <c r="A166" s="151" t="s">
        <v>1158</v>
      </c>
      <c r="B166" s="11">
        <v>905</v>
      </c>
      <c r="C166" s="12" t="s">
        <v>123</v>
      </c>
      <c r="D166" s="6" t="s">
        <v>116</v>
      </c>
      <c r="E166" s="12" t="s">
        <v>1159</v>
      </c>
      <c r="F166" s="12" t="s">
        <v>50</v>
      </c>
      <c r="G166" s="53">
        <f>G167</f>
        <v>1530.8000000000002</v>
      </c>
      <c r="H166" s="111"/>
      <c r="I166" s="112"/>
      <c r="J166" s="111"/>
      <c r="K166" s="76"/>
      <c r="L166" s="75"/>
      <c r="M166" s="75"/>
      <c r="AG166" s="75"/>
      <c r="AH166" s="75"/>
    </row>
    <row r="167" spans="1:103" ht="48" hidden="1" customHeight="1" x14ac:dyDescent="0.3">
      <c r="A167" s="138" t="s">
        <v>692</v>
      </c>
      <c r="B167" s="11">
        <v>905</v>
      </c>
      <c r="C167" s="12" t="s">
        <v>123</v>
      </c>
      <c r="D167" s="6" t="s">
        <v>116</v>
      </c>
      <c r="E167" s="12" t="s">
        <v>1159</v>
      </c>
      <c r="F167" s="12" t="s">
        <v>50</v>
      </c>
      <c r="G167" s="53">
        <f>G168</f>
        <v>1530.8000000000002</v>
      </c>
      <c r="H167" s="111"/>
      <c r="I167" s="112"/>
      <c r="J167" s="111"/>
      <c r="K167" s="76"/>
      <c r="L167" s="75"/>
      <c r="M167" s="75"/>
      <c r="AG167" s="75"/>
      <c r="AH167" s="75"/>
    </row>
    <row r="168" spans="1:103" ht="102.75" customHeight="1" x14ac:dyDescent="0.3">
      <c r="A168" s="138" t="s">
        <v>694</v>
      </c>
      <c r="B168" s="11">
        <v>905</v>
      </c>
      <c r="C168" s="12" t="s">
        <v>123</v>
      </c>
      <c r="D168" s="6" t="s">
        <v>116</v>
      </c>
      <c r="E168" s="12" t="s">
        <v>1160</v>
      </c>
      <c r="F168" s="12" t="s">
        <v>50</v>
      </c>
      <c r="G168" s="53">
        <f>G169+G170</f>
        <v>1530.8000000000002</v>
      </c>
      <c r="H168" s="111"/>
      <c r="I168" s="112"/>
      <c r="J168" s="111"/>
      <c r="K168" s="76"/>
      <c r="L168" s="75"/>
      <c r="M168" s="75"/>
      <c r="AG168" s="75"/>
      <c r="AH168" s="75"/>
    </row>
    <row r="169" spans="1:103" ht="100.5" customHeight="1" x14ac:dyDescent="0.3">
      <c r="A169" s="138" t="s">
        <v>56</v>
      </c>
      <c r="B169" s="11">
        <v>905</v>
      </c>
      <c r="C169" s="12" t="s">
        <v>123</v>
      </c>
      <c r="D169" s="6" t="s">
        <v>116</v>
      </c>
      <c r="E169" s="12" t="s">
        <v>1160</v>
      </c>
      <c r="F169" s="12" t="s">
        <v>57</v>
      </c>
      <c r="G169" s="53">
        <f>1271.4+CT169</f>
        <v>1275.6500000000001</v>
      </c>
      <c r="H169" s="111"/>
      <c r="I169" s="112"/>
      <c r="J169" s="111"/>
      <c r="K169" s="76"/>
      <c r="L169" s="75"/>
      <c r="M169" s="75"/>
      <c r="AG169" s="75"/>
      <c r="AH169" s="75"/>
      <c r="AN169" s="145">
        <v>12.95</v>
      </c>
      <c r="AO169" s="145">
        <v>1279</v>
      </c>
      <c r="AR169" s="187">
        <v>3.4000000000000002E-2</v>
      </c>
      <c r="BO169" s="230">
        <v>1509.5</v>
      </c>
      <c r="BP169" s="231">
        <v>15.3</v>
      </c>
      <c r="BT169" s="146">
        <v>0.2</v>
      </c>
      <c r="CQ169" s="94">
        <f>1509.7+16</f>
        <v>1525.7</v>
      </c>
      <c r="CT169" s="250">
        <v>4.25</v>
      </c>
    </row>
    <row r="170" spans="1:103" ht="48" customHeight="1" x14ac:dyDescent="0.3">
      <c r="A170" s="138" t="s">
        <v>264</v>
      </c>
      <c r="B170" s="11">
        <v>905</v>
      </c>
      <c r="C170" s="12" t="s">
        <v>123</v>
      </c>
      <c r="D170" s="6" t="s">
        <v>116</v>
      </c>
      <c r="E170" s="12" t="s">
        <v>1160</v>
      </c>
      <c r="F170" s="12" t="s">
        <v>261</v>
      </c>
      <c r="G170" s="53">
        <f>254.3+CT170</f>
        <v>255.15</v>
      </c>
      <c r="H170" s="111"/>
      <c r="I170" s="112"/>
      <c r="J170" s="111"/>
      <c r="K170" s="76"/>
      <c r="L170" s="75"/>
      <c r="M170" s="75"/>
      <c r="AG170" s="75"/>
      <c r="AH170" s="75"/>
      <c r="AN170" s="145">
        <v>2.5499999999999998</v>
      </c>
      <c r="AO170" s="145">
        <v>255.8</v>
      </c>
      <c r="AR170" s="187">
        <v>-0.03</v>
      </c>
      <c r="CT170" s="250">
        <v>0.85</v>
      </c>
    </row>
    <row r="171" spans="1:103" ht="48" customHeight="1" x14ac:dyDescent="0.3">
      <c r="A171" s="151" t="s">
        <v>0</v>
      </c>
      <c r="B171" s="11">
        <v>905</v>
      </c>
      <c r="C171" s="12" t="s">
        <v>123</v>
      </c>
      <c r="D171" s="6" t="s">
        <v>116</v>
      </c>
      <c r="E171" s="13" t="s">
        <v>92</v>
      </c>
      <c r="F171" s="12" t="s">
        <v>50</v>
      </c>
      <c r="G171" s="53">
        <f>G172</f>
        <v>480</v>
      </c>
      <c r="H171" s="111"/>
      <c r="I171" s="112"/>
      <c r="J171" s="111"/>
      <c r="K171" s="76"/>
      <c r="L171" s="75"/>
      <c r="M171" s="75"/>
      <c r="AG171" s="75"/>
      <c r="AH171" s="75"/>
    </row>
    <row r="172" spans="1:103" ht="48" customHeight="1" x14ac:dyDescent="0.3">
      <c r="A172" s="151" t="s">
        <v>2</v>
      </c>
      <c r="B172" s="11">
        <v>905</v>
      </c>
      <c r="C172" s="12" t="s">
        <v>123</v>
      </c>
      <c r="D172" s="6" t="s">
        <v>116</v>
      </c>
      <c r="E172" s="13" t="s">
        <v>26</v>
      </c>
      <c r="F172" s="12" t="s">
        <v>50</v>
      </c>
      <c r="G172" s="53">
        <f>G173</f>
        <v>480</v>
      </c>
      <c r="H172" s="111"/>
      <c r="I172" s="112"/>
      <c r="J172" s="111"/>
      <c r="K172" s="76"/>
      <c r="L172" s="75"/>
      <c r="M172" s="75"/>
      <c r="AG172" s="75"/>
      <c r="AH172" s="75"/>
    </row>
    <row r="173" spans="1:103" ht="48" customHeight="1" x14ac:dyDescent="0.3">
      <c r="A173" s="171" t="s">
        <v>62</v>
      </c>
      <c r="B173" s="11">
        <v>905</v>
      </c>
      <c r="C173" s="12" t="s">
        <v>123</v>
      </c>
      <c r="D173" s="6" t="s">
        <v>116</v>
      </c>
      <c r="E173" s="29" t="s">
        <v>287</v>
      </c>
      <c r="F173" s="29" t="s">
        <v>50</v>
      </c>
      <c r="G173" s="53">
        <f>G174</f>
        <v>480</v>
      </c>
      <c r="H173" s="111"/>
      <c r="I173" s="112"/>
      <c r="J173" s="111"/>
      <c r="K173" s="76"/>
      <c r="L173" s="75"/>
      <c r="M173" s="75"/>
      <c r="AG173" s="75"/>
      <c r="AH173" s="75"/>
    </row>
    <row r="174" spans="1:103" ht="40.5" customHeight="1" x14ac:dyDescent="0.3">
      <c r="A174" s="171" t="s">
        <v>286</v>
      </c>
      <c r="B174" s="11">
        <v>905</v>
      </c>
      <c r="C174" s="12" t="s">
        <v>123</v>
      </c>
      <c r="D174" s="6" t="s">
        <v>116</v>
      </c>
      <c r="E174" s="29" t="s">
        <v>288</v>
      </c>
      <c r="F174" s="29" t="s">
        <v>50</v>
      </c>
      <c r="G174" s="53">
        <f>G175+G176</f>
        <v>480</v>
      </c>
      <c r="H174" s="111"/>
      <c r="I174" s="112"/>
      <c r="J174" s="111"/>
      <c r="K174" s="76"/>
      <c r="L174" s="75"/>
      <c r="M174" s="75"/>
      <c r="AG174" s="75"/>
      <c r="AH174" s="75"/>
    </row>
    <row r="175" spans="1:103" ht="60.75" customHeight="1" x14ac:dyDescent="0.3">
      <c r="A175" s="138" t="s">
        <v>56</v>
      </c>
      <c r="B175" s="11">
        <v>905</v>
      </c>
      <c r="C175" s="12" t="s">
        <v>123</v>
      </c>
      <c r="D175" s="6" t="s">
        <v>116</v>
      </c>
      <c r="E175" s="12" t="s">
        <v>288</v>
      </c>
      <c r="F175" s="12" t="s">
        <v>57</v>
      </c>
      <c r="G175" s="53">
        <f>CY175</f>
        <v>368.00170000000003</v>
      </c>
      <c r="H175" s="111"/>
      <c r="I175" s="112"/>
      <c r="J175" s="111"/>
      <c r="K175" s="76"/>
      <c r="L175" s="75"/>
      <c r="M175" s="75"/>
      <c r="AG175" s="75"/>
      <c r="AH175" s="75"/>
      <c r="CF175" s="187">
        <v>315.5</v>
      </c>
      <c r="CY175" s="187">
        <f>480-111.9983</f>
        <v>368.00170000000003</v>
      </c>
    </row>
    <row r="176" spans="1:103" ht="48" customHeight="1" x14ac:dyDescent="0.3">
      <c r="A176" s="138" t="s">
        <v>264</v>
      </c>
      <c r="B176" s="11">
        <v>905</v>
      </c>
      <c r="C176" s="12" t="s">
        <v>123</v>
      </c>
      <c r="D176" s="6" t="s">
        <v>116</v>
      </c>
      <c r="E176" s="12" t="s">
        <v>288</v>
      </c>
      <c r="F176" s="12" t="s">
        <v>261</v>
      </c>
      <c r="G176" s="53">
        <f>CY176</f>
        <v>111.9983</v>
      </c>
      <c r="H176" s="111"/>
      <c r="I176" s="112"/>
      <c r="J176" s="111"/>
      <c r="K176" s="76"/>
      <c r="L176" s="75"/>
      <c r="M176" s="75"/>
      <c r="AG176" s="75"/>
      <c r="AH176" s="75"/>
      <c r="CF176" s="187">
        <v>96.5</v>
      </c>
      <c r="CY176" s="187">
        <v>111.9983</v>
      </c>
    </row>
    <row r="177" spans="1:118" x14ac:dyDescent="0.3">
      <c r="A177" s="150" t="s">
        <v>126</v>
      </c>
      <c r="B177" s="10">
        <v>905</v>
      </c>
      <c r="C177" s="7" t="s">
        <v>123</v>
      </c>
      <c r="D177" s="17" t="s">
        <v>117</v>
      </c>
      <c r="E177" s="7" t="s">
        <v>49</v>
      </c>
      <c r="F177" s="7" t="s">
        <v>50</v>
      </c>
      <c r="G177" s="64">
        <f>G178+G202+G207</f>
        <v>9218.6820000000007</v>
      </c>
      <c r="H177" s="111"/>
      <c r="I177" s="112"/>
      <c r="J177" s="111"/>
      <c r="K177" s="76"/>
      <c r="L177" s="75"/>
      <c r="M177" s="75"/>
      <c r="AG177" s="75"/>
      <c r="AH177" s="75"/>
    </row>
    <row r="178" spans="1:118" ht="47.25" customHeight="1" x14ac:dyDescent="0.3">
      <c r="A178" s="138" t="s">
        <v>38</v>
      </c>
      <c r="B178" s="11">
        <v>905</v>
      </c>
      <c r="C178" s="12" t="s">
        <v>123</v>
      </c>
      <c r="D178" s="6" t="s">
        <v>117</v>
      </c>
      <c r="E178" s="13" t="s">
        <v>400</v>
      </c>
      <c r="F178" s="12" t="s">
        <v>50</v>
      </c>
      <c r="G178" s="53">
        <f>G179</f>
        <v>9218.6820000000007</v>
      </c>
      <c r="H178" s="111"/>
      <c r="I178" s="112"/>
      <c r="J178" s="111"/>
      <c r="K178" s="76"/>
      <c r="L178" s="75"/>
      <c r="M178" s="75"/>
      <c r="AG178" s="75"/>
      <c r="AH178" s="75"/>
    </row>
    <row r="179" spans="1:118" ht="56.25" x14ac:dyDescent="0.3">
      <c r="A179" s="138" t="s">
        <v>138</v>
      </c>
      <c r="B179" s="11">
        <v>905</v>
      </c>
      <c r="C179" s="12" t="s">
        <v>123</v>
      </c>
      <c r="D179" s="6" t="s">
        <v>117</v>
      </c>
      <c r="E179" s="13" t="s">
        <v>51</v>
      </c>
      <c r="F179" s="12" t="s">
        <v>50</v>
      </c>
      <c r="G179" s="53">
        <f>G180+G196</f>
        <v>9218.6820000000007</v>
      </c>
      <c r="H179" s="111"/>
      <c r="I179" s="112"/>
      <c r="J179" s="111"/>
      <c r="K179" s="76"/>
      <c r="L179" s="75"/>
      <c r="M179" s="75"/>
      <c r="AG179" s="75"/>
      <c r="AH179" s="75"/>
    </row>
    <row r="180" spans="1:118" ht="37.5" x14ac:dyDescent="0.3">
      <c r="A180" s="138" t="s">
        <v>52</v>
      </c>
      <c r="B180" s="11">
        <v>905</v>
      </c>
      <c r="C180" s="12" t="s">
        <v>123</v>
      </c>
      <c r="D180" s="6" t="s">
        <v>117</v>
      </c>
      <c r="E180" s="13" t="s">
        <v>53</v>
      </c>
      <c r="F180" s="12" t="s">
        <v>50</v>
      </c>
      <c r="G180" s="53">
        <f>G181+G185+G187+G191+G194</f>
        <v>9018.6820000000007</v>
      </c>
      <c r="H180" s="111"/>
      <c r="I180" s="112"/>
      <c r="J180" s="111"/>
      <c r="K180" s="76"/>
      <c r="L180" s="75"/>
      <c r="M180" s="75"/>
      <c r="AG180" s="75"/>
      <c r="AH180" s="75"/>
    </row>
    <row r="181" spans="1:118" hidden="1" x14ac:dyDescent="0.3">
      <c r="A181" s="138" t="s">
        <v>74</v>
      </c>
      <c r="B181" s="11">
        <v>905</v>
      </c>
      <c r="C181" s="12" t="s">
        <v>123</v>
      </c>
      <c r="D181" s="6" t="s">
        <v>117</v>
      </c>
      <c r="E181" s="13" t="s">
        <v>42</v>
      </c>
      <c r="F181" s="12" t="s">
        <v>50</v>
      </c>
      <c r="G181" s="53">
        <f>G182+G183+G184</f>
        <v>0</v>
      </c>
      <c r="H181" s="111"/>
      <c r="I181" s="112"/>
      <c r="J181" s="111"/>
      <c r="K181" s="76"/>
      <c r="L181" s="75"/>
      <c r="M181" s="75"/>
      <c r="AG181" s="75"/>
      <c r="AH181" s="75"/>
    </row>
    <row r="182" spans="1:118" ht="93.75" hidden="1" x14ac:dyDescent="0.3">
      <c r="A182" s="138" t="s">
        <v>56</v>
      </c>
      <c r="B182" s="11">
        <v>905</v>
      </c>
      <c r="C182" s="12" t="s">
        <v>123</v>
      </c>
      <c r="D182" s="6" t="s">
        <v>117</v>
      </c>
      <c r="E182" s="13" t="s">
        <v>42</v>
      </c>
      <c r="F182" s="13" t="s">
        <v>57</v>
      </c>
      <c r="G182" s="68">
        <v>0</v>
      </c>
      <c r="H182" s="111"/>
      <c r="I182" s="112"/>
      <c r="J182" s="111"/>
      <c r="K182" s="76"/>
      <c r="L182" s="75">
        <v>-5128.5</v>
      </c>
      <c r="M182" s="75"/>
      <c r="AG182" s="75"/>
      <c r="AH182" s="75"/>
    </row>
    <row r="183" spans="1:118" ht="37.5" hidden="1" x14ac:dyDescent="0.3">
      <c r="A183" s="138" t="s">
        <v>425</v>
      </c>
      <c r="B183" s="11">
        <v>905</v>
      </c>
      <c r="C183" s="12" t="s">
        <v>123</v>
      </c>
      <c r="D183" s="6" t="s">
        <v>117</v>
      </c>
      <c r="E183" s="13" t="s">
        <v>42</v>
      </c>
      <c r="F183" s="13" t="s">
        <v>59</v>
      </c>
      <c r="G183" s="53">
        <v>0</v>
      </c>
      <c r="H183" s="111"/>
      <c r="I183" s="112"/>
      <c r="J183" s="111"/>
      <c r="K183" s="76"/>
      <c r="L183" s="75">
        <v>-896.4</v>
      </c>
      <c r="M183" s="75"/>
      <c r="AG183" s="75"/>
      <c r="AH183" s="75"/>
    </row>
    <row r="184" spans="1:118" hidden="1" x14ac:dyDescent="0.3">
      <c r="A184" s="138" t="s">
        <v>60</v>
      </c>
      <c r="B184" s="11">
        <v>905</v>
      </c>
      <c r="C184" s="12" t="s">
        <v>123</v>
      </c>
      <c r="D184" s="6" t="s">
        <v>117</v>
      </c>
      <c r="E184" s="13" t="s">
        <v>42</v>
      </c>
      <c r="F184" s="13" t="s">
        <v>61</v>
      </c>
      <c r="G184" s="53">
        <v>0</v>
      </c>
      <c r="H184" s="111"/>
      <c r="I184" s="112"/>
      <c r="J184" s="111"/>
      <c r="K184" s="76"/>
      <c r="L184" s="75">
        <v>-77.3</v>
      </c>
      <c r="M184" s="75"/>
      <c r="AG184" s="75"/>
      <c r="AH184" s="75"/>
    </row>
    <row r="185" spans="1:118" ht="37.5" hidden="1" x14ac:dyDescent="0.3">
      <c r="A185" s="157" t="s">
        <v>374</v>
      </c>
      <c r="B185" s="11">
        <v>905</v>
      </c>
      <c r="C185" s="12" t="s">
        <v>123</v>
      </c>
      <c r="D185" s="6" t="s">
        <v>117</v>
      </c>
      <c r="E185" s="13" t="s">
        <v>506</v>
      </c>
      <c r="F185" s="13" t="s">
        <v>50</v>
      </c>
      <c r="G185" s="53">
        <v>0</v>
      </c>
      <c r="H185" s="111"/>
      <c r="I185" s="112"/>
      <c r="J185" s="111"/>
      <c r="K185" s="76"/>
      <c r="L185" s="75"/>
      <c r="M185" s="75"/>
      <c r="AG185" s="75"/>
      <c r="AH185" s="75"/>
    </row>
    <row r="186" spans="1:118" ht="93.75" hidden="1" x14ac:dyDescent="0.3">
      <c r="A186" s="138" t="s">
        <v>56</v>
      </c>
      <c r="B186" s="11">
        <v>905</v>
      </c>
      <c r="C186" s="12" t="s">
        <v>123</v>
      </c>
      <c r="D186" s="6" t="s">
        <v>117</v>
      </c>
      <c r="E186" s="13" t="s">
        <v>506</v>
      </c>
      <c r="F186" s="13" t="s">
        <v>57</v>
      </c>
      <c r="G186" s="53">
        <v>0</v>
      </c>
      <c r="H186" s="111"/>
      <c r="I186" s="112"/>
      <c r="J186" s="111"/>
      <c r="K186" s="76"/>
      <c r="L186" s="75"/>
      <c r="M186" s="75"/>
      <c r="AG186" s="75"/>
      <c r="AH186" s="75"/>
    </row>
    <row r="187" spans="1:118" x14ac:dyDescent="0.3">
      <c r="A187" s="138" t="s">
        <v>544</v>
      </c>
      <c r="B187" s="11">
        <v>905</v>
      </c>
      <c r="C187" s="12" t="s">
        <v>123</v>
      </c>
      <c r="D187" s="6" t="s">
        <v>117</v>
      </c>
      <c r="E187" s="13" t="s">
        <v>578</v>
      </c>
      <c r="F187" s="13" t="s">
        <v>50</v>
      </c>
      <c r="G187" s="53">
        <f>G188+G189+G190</f>
        <v>8657.1820000000007</v>
      </c>
      <c r="H187" s="111"/>
      <c r="I187" s="112"/>
      <c r="J187" s="111"/>
      <c r="K187" s="76"/>
      <c r="L187" s="75"/>
      <c r="M187" s="75"/>
      <c r="AG187" s="75"/>
      <c r="AH187" s="75"/>
    </row>
    <row r="188" spans="1:118" ht="93.75" x14ac:dyDescent="0.3">
      <c r="A188" s="138" t="s">
        <v>56</v>
      </c>
      <c r="B188" s="11">
        <v>905</v>
      </c>
      <c r="C188" s="12" t="s">
        <v>123</v>
      </c>
      <c r="D188" s="6" t="s">
        <v>117</v>
      </c>
      <c r="E188" s="13" t="s">
        <v>578</v>
      </c>
      <c r="F188" s="13" t="s">
        <v>57</v>
      </c>
      <c r="G188" s="53">
        <f>CS188+DN188</f>
        <v>7442.6</v>
      </c>
      <c r="H188" s="120">
        <v>5879.7</v>
      </c>
      <c r="I188" s="121"/>
      <c r="J188" s="120"/>
      <c r="K188" s="76"/>
      <c r="L188" s="75">
        <v>5128.5</v>
      </c>
      <c r="M188" s="75"/>
      <c r="AD188">
        <v>-600</v>
      </c>
      <c r="AG188" s="75"/>
      <c r="AH188" s="96">
        <v>1192.1981800000001</v>
      </c>
      <c r="AK188" s="75">
        <v>5297.8</v>
      </c>
      <c r="AX188" s="96">
        <v>2.879</v>
      </c>
      <c r="BK188" s="218">
        <v>-40</v>
      </c>
      <c r="BM188" s="95">
        <v>6312.8</v>
      </c>
      <c r="CP188" s="251">
        <v>275.39999999999998</v>
      </c>
      <c r="CS188" s="255">
        <v>7116.3</v>
      </c>
      <c r="DN188" s="260">
        <v>326.3</v>
      </c>
    </row>
    <row r="189" spans="1:118" ht="40.5" customHeight="1" x14ac:dyDescent="0.3">
      <c r="A189" s="138" t="s">
        <v>425</v>
      </c>
      <c r="B189" s="11">
        <v>905</v>
      </c>
      <c r="C189" s="12" t="s">
        <v>123</v>
      </c>
      <c r="D189" s="6" t="s">
        <v>117</v>
      </c>
      <c r="E189" s="13" t="s">
        <v>578</v>
      </c>
      <c r="F189" s="13" t="s">
        <v>59</v>
      </c>
      <c r="G189" s="53">
        <f>CS189+CU189+CZ189+DN189</f>
        <v>1144</v>
      </c>
      <c r="H189" s="120">
        <v>1078.0999999999999</v>
      </c>
      <c r="I189" s="121"/>
      <c r="J189" s="120"/>
      <c r="K189" s="76"/>
      <c r="L189" s="75">
        <v>896.4</v>
      </c>
      <c r="M189" s="75">
        <v>15.8</v>
      </c>
      <c r="T189">
        <v>30</v>
      </c>
      <c r="W189">
        <v>5</v>
      </c>
      <c r="AC189">
        <v>25</v>
      </c>
      <c r="AG189" s="75"/>
      <c r="AH189" s="75">
        <f>51+20.4</f>
        <v>71.400000000000006</v>
      </c>
      <c r="AK189" s="75">
        <v>980.8</v>
      </c>
      <c r="AX189" s="96">
        <v>-2.879</v>
      </c>
      <c r="BJ189" s="187">
        <v>60.8</v>
      </c>
      <c r="BL189" s="187">
        <v>-4.3</v>
      </c>
      <c r="BM189" s="95">
        <v>1026.4000000000001</v>
      </c>
      <c r="BX189" s="146">
        <v>40.200000000000003</v>
      </c>
      <c r="CH189" s="250">
        <v>104.2</v>
      </c>
      <c r="CP189" s="251">
        <v>-10.7</v>
      </c>
      <c r="CS189" s="255">
        <f>973.7+198</f>
        <v>1171.7</v>
      </c>
      <c r="CU189" s="250">
        <v>12.3</v>
      </c>
      <c r="CZ189" s="187">
        <v>60</v>
      </c>
      <c r="DN189" s="260">
        <f>-100</f>
        <v>-100</v>
      </c>
    </row>
    <row r="190" spans="1:118" ht="17.25" customHeight="1" x14ac:dyDescent="0.3">
      <c r="A190" s="138" t="s">
        <v>60</v>
      </c>
      <c r="B190" s="11">
        <v>905</v>
      </c>
      <c r="C190" s="12" t="s">
        <v>123</v>
      </c>
      <c r="D190" s="6" t="s">
        <v>117</v>
      </c>
      <c r="E190" s="13" t="s">
        <v>578</v>
      </c>
      <c r="F190" s="13" t="s">
        <v>61</v>
      </c>
      <c r="G190" s="53">
        <f>CS190+DI190</f>
        <v>70.581999999999994</v>
      </c>
      <c r="H190" s="111">
        <v>74.099999999999994</v>
      </c>
      <c r="I190" s="112"/>
      <c r="J190" s="111"/>
      <c r="K190" s="76"/>
      <c r="L190" s="75">
        <v>77.3</v>
      </c>
      <c r="M190" s="75"/>
      <c r="AE190">
        <v>-0.309</v>
      </c>
      <c r="AG190" s="75"/>
      <c r="AH190" s="75"/>
      <c r="AI190">
        <v>2.12</v>
      </c>
      <c r="AK190" s="75">
        <v>0</v>
      </c>
      <c r="BM190" s="95">
        <v>72.400000000000006</v>
      </c>
      <c r="CL190" s="187">
        <v>-0.55700000000000005</v>
      </c>
      <c r="CS190" s="255">
        <v>70.8</v>
      </c>
      <c r="DI190" s="260">
        <f>17.582-17.8</f>
        <v>-0.21799999999999997</v>
      </c>
    </row>
    <row r="191" spans="1:118" ht="37.5" x14ac:dyDescent="0.3">
      <c r="A191" s="157" t="s">
        <v>374</v>
      </c>
      <c r="B191" s="11">
        <v>905</v>
      </c>
      <c r="C191" s="12" t="s">
        <v>123</v>
      </c>
      <c r="D191" s="6" t="s">
        <v>117</v>
      </c>
      <c r="E191" s="13" t="s">
        <v>621</v>
      </c>
      <c r="F191" s="13" t="s">
        <v>50</v>
      </c>
      <c r="G191" s="68">
        <f>G192+G193</f>
        <v>361.5</v>
      </c>
      <c r="H191" s="111"/>
      <c r="I191" s="112"/>
      <c r="J191" s="111"/>
      <c r="K191" s="76"/>
      <c r="L191" s="75"/>
      <c r="M191" s="75"/>
      <c r="AG191" s="75"/>
      <c r="AH191" s="75"/>
    </row>
    <row r="192" spans="1:118" ht="93.75" x14ac:dyDescent="0.3">
      <c r="A192" s="138" t="s">
        <v>56</v>
      </c>
      <c r="B192" s="11">
        <v>905</v>
      </c>
      <c r="C192" s="12" t="s">
        <v>123</v>
      </c>
      <c r="D192" s="6" t="s">
        <v>117</v>
      </c>
      <c r="E192" s="13" t="s">
        <v>621</v>
      </c>
      <c r="F192" s="13" t="s">
        <v>57</v>
      </c>
      <c r="G192" s="68">
        <f>CW192</f>
        <v>361.5</v>
      </c>
      <c r="H192" s="111"/>
      <c r="I192" s="112"/>
      <c r="J192" s="111"/>
      <c r="K192" s="76"/>
      <c r="L192" s="75"/>
      <c r="M192" s="75"/>
      <c r="AG192" s="75"/>
      <c r="AH192" s="75"/>
      <c r="AK192" s="75">
        <v>0</v>
      </c>
      <c r="AP192" s="146">
        <v>371.5</v>
      </c>
      <c r="BY192" s="146">
        <v>279.10000000000002</v>
      </c>
      <c r="CI192" s="187">
        <v>84.6</v>
      </c>
      <c r="CW192" s="259">
        <v>361.5</v>
      </c>
    </row>
    <row r="193" spans="1:100" hidden="1" x14ac:dyDescent="0.3">
      <c r="A193" s="138" t="s">
        <v>60</v>
      </c>
      <c r="B193" s="11">
        <v>905</v>
      </c>
      <c r="C193" s="12" t="s">
        <v>123</v>
      </c>
      <c r="D193" s="6" t="s">
        <v>117</v>
      </c>
      <c r="E193" s="13" t="s">
        <v>621</v>
      </c>
      <c r="F193" s="13" t="s">
        <v>61</v>
      </c>
      <c r="G193" s="68">
        <v>0</v>
      </c>
      <c r="H193" s="111"/>
      <c r="I193" s="112"/>
      <c r="J193" s="111"/>
      <c r="K193" s="76"/>
      <c r="L193" s="75"/>
      <c r="M193" s="75"/>
      <c r="AG193" s="75"/>
      <c r="AH193" s="75"/>
      <c r="AK193" s="75">
        <v>75.7</v>
      </c>
    </row>
    <row r="194" spans="1:100" ht="56.25" hidden="1" x14ac:dyDescent="0.3">
      <c r="A194" s="157" t="s">
        <v>378</v>
      </c>
      <c r="B194" s="11">
        <v>905</v>
      </c>
      <c r="C194" s="12" t="s">
        <v>123</v>
      </c>
      <c r="D194" s="6" t="s">
        <v>117</v>
      </c>
      <c r="E194" s="13" t="s">
        <v>635</v>
      </c>
      <c r="F194" s="13" t="s">
        <v>50</v>
      </c>
      <c r="G194" s="68">
        <f>G195</f>
        <v>0</v>
      </c>
      <c r="H194" s="111"/>
      <c r="I194" s="112"/>
      <c r="J194" s="111"/>
      <c r="K194" s="76"/>
      <c r="L194" s="75"/>
      <c r="M194" s="75"/>
      <c r="AG194" s="75"/>
      <c r="AH194" s="75"/>
    </row>
    <row r="195" spans="1:100" ht="93.75" hidden="1" x14ac:dyDescent="0.3">
      <c r="A195" s="138" t="s">
        <v>56</v>
      </c>
      <c r="B195" s="11">
        <v>905</v>
      </c>
      <c r="C195" s="12" t="s">
        <v>123</v>
      </c>
      <c r="D195" s="6" t="s">
        <v>117</v>
      </c>
      <c r="E195" s="13" t="s">
        <v>635</v>
      </c>
      <c r="F195" s="13" t="s">
        <v>57</v>
      </c>
      <c r="G195" s="68">
        <v>0</v>
      </c>
      <c r="H195" s="111"/>
      <c r="I195" s="112"/>
      <c r="J195" s="111"/>
      <c r="K195" s="76"/>
      <c r="L195" s="75"/>
      <c r="M195" s="75"/>
      <c r="AG195" s="75"/>
      <c r="AH195" s="75"/>
      <c r="AK195" s="75">
        <v>0</v>
      </c>
    </row>
    <row r="196" spans="1:100" hidden="1" x14ac:dyDescent="0.3">
      <c r="A196" s="138" t="s">
        <v>62</v>
      </c>
      <c r="B196" s="11">
        <v>905</v>
      </c>
      <c r="C196" s="12" t="s">
        <v>123</v>
      </c>
      <c r="D196" s="6" t="s">
        <v>117</v>
      </c>
      <c r="E196" s="13" t="s">
        <v>63</v>
      </c>
      <c r="F196" s="13" t="s">
        <v>50</v>
      </c>
      <c r="G196" s="53">
        <f>G200+G197</f>
        <v>200</v>
      </c>
      <c r="H196" s="111"/>
      <c r="I196" s="112"/>
      <c r="J196" s="111"/>
      <c r="K196" s="76"/>
      <c r="L196" s="75"/>
      <c r="M196" s="75"/>
      <c r="AG196" s="75"/>
      <c r="AH196" s="75"/>
    </row>
    <row r="197" spans="1:100" ht="31.5" hidden="1" customHeight="1" outlineLevel="1" x14ac:dyDescent="0.3">
      <c r="A197" s="138" t="s">
        <v>75</v>
      </c>
      <c r="B197" s="11">
        <v>905</v>
      </c>
      <c r="C197" s="12" t="s">
        <v>123</v>
      </c>
      <c r="D197" s="6" t="s">
        <v>117</v>
      </c>
      <c r="E197" s="12" t="s">
        <v>40</v>
      </c>
      <c r="F197" s="13" t="s">
        <v>50</v>
      </c>
      <c r="G197" s="53">
        <f>G198+G199</f>
        <v>0</v>
      </c>
      <c r="H197" s="111"/>
      <c r="I197" s="112"/>
      <c r="J197" s="111"/>
      <c r="K197" s="76"/>
      <c r="L197" s="75"/>
      <c r="M197" s="75"/>
      <c r="AG197" s="75"/>
      <c r="AH197" s="75"/>
    </row>
    <row r="198" spans="1:100" ht="99" hidden="1" customHeight="1" outlineLevel="1" x14ac:dyDescent="0.3">
      <c r="A198" s="138" t="s">
        <v>56</v>
      </c>
      <c r="B198" s="11">
        <v>905</v>
      </c>
      <c r="C198" s="12" t="s">
        <v>123</v>
      </c>
      <c r="D198" s="6" t="s">
        <v>117</v>
      </c>
      <c r="E198" s="12" t="s">
        <v>40</v>
      </c>
      <c r="F198" s="13" t="s">
        <v>57</v>
      </c>
      <c r="G198" s="68"/>
      <c r="H198" s="111"/>
      <c r="I198" s="112"/>
      <c r="J198" s="111"/>
      <c r="K198" s="76"/>
      <c r="L198" s="75"/>
      <c r="M198" s="75"/>
      <c r="AG198" s="75"/>
      <c r="AH198" s="75"/>
    </row>
    <row r="199" spans="1:100" ht="37.5" hidden="1" outlineLevel="1" x14ac:dyDescent="0.3">
      <c r="A199" s="138" t="s">
        <v>425</v>
      </c>
      <c r="B199" s="11">
        <v>905</v>
      </c>
      <c r="C199" s="12" t="s">
        <v>123</v>
      </c>
      <c r="D199" s="6" t="s">
        <v>117</v>
      </c>
      <c r="E199" s="12" t="s">
        <v>40</v>
      </c>
      <c r="F199" s="13" t="s">
        <v>59</v>
      </c>
      <c r="G199" s="53"/>
      <c r="H199" s="111"/>
      <c r="I199" s="112"/>
      <c r="J199" s="111"/>
      <c r="K199" s="76"/>
      <c r="L199" s="75"/>
      <c r="M199" s="75"/>
      <c r="AG199" s="75"/>
      <c r="AH199" s="75"/>
    </row>
    <row r="200" spans="1:100" ht="56.25" collapsed="1" x14ac:dyDescent="0.3">
      <c r="A200" s="138" t="s">
        <v>490</v>
      </c>
      <c r="B200" s="11">
        <v>905</v>
      </c>
      <c r="C200" s="12" t="s">
        <v>123</v>
      </c>
      <c r="D200" s="6" t="s">
        <v>117</v>
      </c>
      <c r="E200" s="13" t="s">
        <v>491</v>
      </c>
      <c r="F200" s="13" t="s">
        <v>50</v>
      </c>
      <c r="G200" s="53">
        <f>G201</f>
        <v>200</v>
      </c>
      <c r="H200" s="111"/>
      <c r="I200" s="112"/>
      <c r="J200" s="111"/>
      <c r="K200" s="76"/>
      <c r="L200" s="75"/>
      <c r="M200" s="75"/>
      <c r="AG200" s="75"/>
      <c r="AH200" s="75"/>
    </row>
    <row r="201" spans="1:100" ht="44.25" customHeight="1" x14ac:dyDescent="0.3">
      <c r="A201" s="138" t="s">
        <v>264</v>
      </c>
      <c r="B201" s="11">
        <v>905</v>
      </c>
      <c r="C201" s="12" t="s">
        <v>123</v>
      </c>
      <c r="D201" s="6" t="s">
        <v>117</v>
      </c>
      <c r="E201" s="13" t="s">
        <v>491</v>
      </c>
      <c r="F201" s="13" t="s">
        <v>261</v>
      </c>
      <c r="G201" s="53">
        <f>CV201</f>
        <v>200</v>
      </c>
      <c r="H201" s="111">
        <v>1821.8</v>
      </c>
      <c r="I201" s="112"/>
      <c r="J201" s="111"/>
      <c r="K201" s="76"/>
      <c r="L201" s="75"/>
      <c r="M201" s="75"/>
      <c r="AG201" s="75"/>
      <c r="AH201" s="75"/>
      <c r="AK201" s="75">
        <v>1146.7</v>
      </c>
      <c r="BL201" s="187">
        <v>-630</v>
      </c>
      <c r="BN201" s="229">
        <v>1821.8</v>
      </c>
      <c r="CV201" s="259">
        <v>200</v>
      </c>
    </row>
    <row r="202" spans="1:100" ht="40.5" hidden="1" customHeight="1" x14ac:dyDescent="0.3">
      <c r="A202" s="151" t="s">
        <v>161</v>
      </c>
      <c r="B202" s="11">
        <v>905</v>
      </c>
      <c r="C202" s="12" t="s">
        <v>123</v>
      </c>
      <c r="D202" s="12" t="s">
        <v>117</v>
      </c>
      <c r="E202" s="13" t="s">
        <v>99</v>
      </c>
      <c r="F202" s="12" t="s">
        <v>50</v>
      </c>
      <c r="G202" s="53">
        <f>G203</f>
        <v>0</v>
      </c>
      <c r="H202" s="111"/>
      <c r="I202" s="112"/>
      <c r="J202" s="111"/>
      <c r="K202" s="76"/>
      <c r="L202" s="75"/>
      <c r="M202" s="75"/>
      <c r="AG202" s="75"/>
      <c r="AH202" s="75"/>
    </row>
    <row r="203" spans="1:100" ht="56.25" hidden="1" x14ac:dyDescent="0.3">
      <c r="A203" s="151" t="s">
        <v>11</v>
      </c>
      <c r="B203" s="11">
        <v>905</v>
      </c>
      <c r="C203" s="12" t="s">
        <v>123</v>
      </c>
      <c r="D203" s="12" t="s">
        <v>117</v>
      </c>
      <c r="E203" s="13" t="s">
        <v>29</v>
      </c>
      <c r="F203" s="12" t="s">
        <v>50</v>
      </c>
      <c r="G203" s="53">
        <f>G204</f>
        <v>0</v>
      </c>
      <c r="H203" s="111"/>
      <c r="I203" s="112"/>
      <c r="J203" s="111"/>
      <c r="K203" s="76"/>
      <c r="L203" s="75"/>
      <c r="M203" s="75"/>
      <c r="AG203" s="75"/>
      <c r="AH203" s="75"/>
    </row>
    <row r="204" spans="1:100" ht="75" hidden="1" x14ac:dyDescent="0.3">
      <c r="A204" s="151" t="s">
        <v>249</v>
      </c>
      <c r="B204" s="11">
        <v>905</v>
      </c>
      <c r="C204" s="12" t="s">
        <v>123</v>
      </c>
      <c r="D204" s="12" t="s">
        <v>117</v>
      </c>
      <c r="E204" s="13" t="s">
        <v>254</v>
      </c>
      <c r="F204" s="12" t="s">
        <v>50</v>
      </c>
      <c r="G204" s="53">
        <f>G205</f>
        <v>0</v>
      </c>
      <c r="H204" s="111"/>
      <c r="I204" s="112"/>
      <c r="J204" s="111"/>
      <c r="K204" s="76"/>
      <c r="L204" s="75"/>
      <c r="M204" s="75"/>
      <c r="AG204" s="75"/>
      <c r="AH204" s="75"/>
    </row>
    <row r="205" spans="1:100" ht="56.25" hidden="1" x14ac:dyDescent="0.3">
      <c r="A205" s="138" t="s">
        <v>253</v>
      </c>
      <c r="B205" s="11">
        <v>905</v>
      </c>
      <c r="C205" s="12" t="s">
        <v>123</v>
      </c>
      <c r="D205" s="12" t="s">
        <v>117</v>
      </c>
      <c r="E205" s="12" t="s">
        <v>255</v>
      </c>
      <c r="F205" s="12" t="s">
        <v>50</v>
      </c>
      <c r="G205" s="53">
        <f>G206</f>
        <v>0</v>
      </c>
      <c r="H205" s="111"/>
      <c r="I205" s="112"/>
      <c r="J205" s="111"/>
      <c r="K205" s="76"/>
      <c r="L205" s="75"/>
      <c r="M205" s="75"/>
      <c r="AG205" s="75"/>
      <c r="AH205" s="75"/>
    </row>
    <row r="206" spans="1:100" ht="37.5" hidden="1" x14ac:dyDescent="0.3">
      <c r="A206" s="138" t="s">
        <v>425</v>
      </c>
      <c r="B206" s="11">
        <v>905</v>
      </c>
      <c r="C206" s="12" t="s">
        <v>123</v>
      </c>
      <c r="D206" s="12" t="s">
        <v>117</v>
      </c>
      <c r="E206" s="12" t="s">
        <v>255</v>
      </c>
      <c r="F206" s="12" t="s">
        <v>59</v>
      </c>
      <c r="G206" s="53">
        <v>0</v>
      </c>
      <c r="H206" s="111"/>
      <c r="I206" s="112"/>
      <c r="J206" s="111"/>
      <c r="K206" s="76"/>
      <c r="L206" s="75"/>
      <c r="M206" s="75"/>
      <c r="AG206" s="75"/>
      <c r="AH206" s="75"/>
    </row>
    <row r="207" spans="1:100" ht="48.75" hidden="1" customHeight="1" x14ac:dyDescent="0.3">
      <c r="A207" s="151" t="s">
        <v>161</v>
      </c>
      <c r="B207" s="11">
        <v>905</v>
      </c>
      <c r="C207" s="12" t="s">
        <v>123</v>
      </c>
      <c r="D207" s="6" t="s">
        <v>117</v>
      </c>
      <c r="E207" s="12" t="s">
        <v>99</v>
      </c>
      <c r="F207" s="12" t="s">
        <v>50</v>
      </c>
      <c r="G207" s="53">
        <f>G208</f>
        <v>0</v>
      </c>
      <c r="H207" s="111"/>
      <c r="I207" s="112"/>
      <c r="J207" s="111"/>
      <c r="K207" s="76"/>
      <c r="L207" s="75"/>
      <c r="M207" s="75"/>
      <c r="AG207" s="75"/>
      <c r="AH207" s="75"/>
    </row>
    <row r="208" spans="1:100" ht="56.25" hidden="1" x14ac:dyDescent="0.3">
      <c r="A208" s="138" t="s">
        <v>458</v>
      </c>
      <c r="B208" s="11">
        <v>905</v>
      </c>
      <c r="C208" s="12" t="s">
        <v>123</v>
      </c>
      <c r="D208" s="6" t="s">
        <v>117</v>
      </c>
      <c r="E208" s="12" t="s">
        <v>29</v>
      </c>
      <c r="F208" s="12" t="s">
        <v>50</v>
      </c>
      <c r="G208" s="53">
        <f>G210+G216+G221</f>
        <v>0</v>
      </c>
      <c r="H208" s="111"/>
      <c r="I208" s="112"/>
      <c r="J208" s="111"/>
      <c r="K208" s="76"/>
      <c r="L208" s="75"/>
      <c r="M208" s="75"/>
      <c r="AG208" s="75"/>
      <c r="AH208" s="75"/>
    </row>
    <row r="209" spans="1:86" ht="75" hidden="1" x14ac:dyDescent="0.3">
      <c r="A209" s="138" t="s">
        <v>249</v>
      </c>
      <c r="B209" s="11">
        <v>905</v>
      </c>
      <c r="C209" s="12" t="s">
        <v>123</v>
      </c>
      <c r="D209" s="6" t="s">
        <v>117</v>
      </c>
      <c r="E209" s="12" t="s">
        <v>824</v>
      </c>
      <c r="F209" s="12" t="s">
        <v>50</v>
      </c>
      <c r="G209" s="53">
        <f>G210</f>
        <v>0</v>
      </c>
      <c r="H209" s="111"/>
      <c r="I209" s="112"/>
      <c r="J209" s="111"/>
      <c r="K209" s="76"/>
      <c r="L209" s="75"/>
      <c r="M209" s="75"/>
      <c r="AG209" s="75"/>
      <c r="AH209" s="75"/>
    </row>
    <row r="210" spans="1:86" ht="56.25" hidden="1" x14ac:dyDescent="0.3">
      <c r="A210" s="138" t="s">
        <v>253</v>
      </c>
      <c r="B210" s="11">
        <v>905</v>
      </c>
      <c r="C210" s="12" t="s">
        <v>123</v>
      </c>
      <c r="D210" s="6" t="s">
        <v>117</v>
      </c>
      <c r="E210" s="12" t="s">
        <v>255</v>
      </c>
      <c r="F210" s="12" t="s">
        <v>50</v>
      </c>
      <c r="G210" s="53">
        <f>G212+G214</f>
        <v>0</v>
      </c>
      <c r="H210" s="111"/>
      <c r="I210" s="112"/>
      <c r="J210" s="111"/>
      <c r="K210" s="76"/>
      <c r="L210" s="75"/>
      <c r="M210" s="75"/>
      <c r="AG210" s="75"/>
      <c r="AH210" s="75"/>
    </row>
    <row r="211" spans="1:86" ht="131.25" hidden="1" x14ac:dyDescent="0.3">
      <c r="A211" s="138" t="s">
        <v>823</v>
      </c>
      <c r="B211" s="11">
        <v>905</v>
      </c>
      <c r="C211" s="12" t="s">
        <v>123</v>
      </c>
      <c r="D211" s="6" t="s">
        <v>117</v>
      </c>
      <c r="E211" s="12" t="s">
        <v>825</v>
      </c>
      <c r="F211" s="12" t="s">
        <v>50</v>
      </c>
      <c r="G211" s="53">
        <f>G212</f>
        <v>0</v>
      </c>
      <c r="H211" s="111"/>
      <c r="I211" s="112"/>
      <c r="J211" s="111"/>
      <c r="K211" s="76"/>
      <c r="L211" s="75"/>
      <c r="M211" s="75"/>
      <c r="AG211" s="75"/>
      <c r="AH211" s="75"/>
    </row>
    <row r="212" spans="1:86" ht="45" hidden="1" customHeight="1" x14ac:dyDescent="0.3">
      <c r="A212" s="138" t="s">
        <v>425</v>
      </c>
      <c r="B212" s="11">
        <v>905</v>
      </c>
      <c r="C212" s="12" t="s">
        <v>123</v>
      </c>
      <c r="D212" s="6" t="s">
        <v>117</v>
      </c>
      <c r="E212" s="12" t="s">
        <v>825</v>
      </c>
      <c r="F212" s="12" t="s">
        <v>59</v>
      </c>
      <c r="G212" s="53">
        <v>0</v>
      </c>
      <c r="H212" s="111"/>
      <c r="I212" s="112"/>
      <c r="J212" s="111"/>
      <c r="K212" s="76">
        <v>580</v>
      </c>
      <c r="L212" s="75"/>
      <c r="M212" s="75"/>
      <c r="AG212" s="75"/>
      <c r="AH212" s="75"/>
      <c r="AK212" s="75">
        <v>0</v>
      </c>
      <c r="AP212" s="146">
        <v>1296.808</v>
      </c>
    </row>
    <row r="213" spans="1:86" ht="90" hidden="1" customHeight="1" x14ac:dyDescent="0.3">
      <c r="A213" s="138" t="s">
        <v>546</v>
      </c>
      <c r="B213" s="11">
        <v>905</v>
      </c>
      <c r="C213" s="12" t="s">
        <v>123</v>
      </c>
      <c r="D213" s="6" t="s">
        <v>117</v>
      </c>
      <c r="E213" s="12" t="s">
        <v>600</v>
      </c>
      <c r="F213" s="12" t="s">
        <v>50</v>
      </c>
      <c r="G213" s="53">
        <f>G214</f>
        <v>0</v>
      </c>
      <c r="H213" s="111"/>
      <c r="I213" s="112"/>
      <c r="J213" s="111"/>
      <c r="K213" s="76"/>
      <c r="L213" s="75"/>
      <c r="M213" s="75"/>
      <c r="AG213" s="75"/>
      <c r="AH213" s="75"/>
    </row>
    <row r="214" spans="1:86" ht="37.5" hidden="1" x14ac:dyDescent="0.3">
      <c r="A214" s="138" t="s">
        <v>425</v>
      </c>
      <c r="B214" s="11">
        <v>905</v>
      </c>
      <c r="C214" s="12" t="s">
        <v>123</v>
      </c>
      <c r="D214" s="6" t="s">
        <v>117</v>
      </c>
      <c r="E214" s="12" t="s">
        <v>600</v>
      </c>
      <c r="F214" s="12" t="s">
        <v>59</v>
      </c>
      <c r="G214" s="53">
        <v>0</v>
      </c>
      <c r="H214" s="111"/>
      <c r="I214" s="112"/>
      <c r="J214" s="111"/>
      <c r="K214" s="76">
        <v>630</v>
      </c>
      <c r="L214" s="75"/>
      <c r="M214" s="75"/>
      <c r="AG214" s="75"/>
      <c r="AH214" s="75"/>
      <c r="AK214" s="75">
        <v>0</v>
      </c>
    </row>
    <row r="215" spans="1:86" hidden="1" x14ac:dyDescent="0.3">
      <c r="A215" s="138" t="s">
        <v>62</v>
      </c>
      <c r="B215" s="11">
        <v>905</v>
      </c>
      <c r="C215" s="12" t="s">
        <v>123</v>
      </c>
      <c r="D215" s="6" t="s">
        <v>117</v>
      </c>
      <c r="E215" s="12" t="s">
        <v>251</v>
      </c>
      <c r="F215" s="12" t="s">
        <v>50</v>
      </c>
      <c r="G215" s="53">
        <f>G216</f>
        <v>0</v>
      </c>
      <c r="H215" s="111"/>
      <c r="I215" s="112"/>
      <c r="J215" s="111"/>
      <c r="K215" s="76"/>
      <c r="L215" s="75"/>
      <c r="M215" s="75"/>
      <c r="AG215" s="75"/>
      <c r="AH215" s="75"/>
    </row>
    <row r="216" spans="1:86" ht="27.75" hidden="1" customHeight="1" x14ac:dyDescent="0.3">
      <c r="A216" s="158" t="s">
        <v>64</v>
      </c>
      <c r="B216" s="11">
        <v>905</v>
      </c>
      <c r="C216" s="12" t="s">
        <v>123</v>
      </c>
      <c r="D216" s="6" t="s">
        <v>117</v>
      </c>
      <c r="E216" s="12" t="s">
        <v>826</v>
      </c>
      <c r="F216" s="12" t="s">
        <v>50</v>
      </c>
      <c r="G216" s="53">
        <f>G218+G219</f>
        <v>0</v>
      </c>
      <c r="H216" s="111"/>
      <c r="I216" s="112"/>
      <c r="J216" s="111"/>
      <c r="K216" s="76"/>
      <c r="L216" s="75"/>
      <c r="M216" s="75"/>
      <c r="AG216" s="75"/>
      <c r="AH216" s="75"/>
    </row>
    <row r="217" spans="1:86" ht="111.75" hidden="1" customHeight="1" x14ac:dyDescent="0.3">
      <c r="A217" s="138" t="s">
        <v>822</v>
      </c>
      <c r="B217" s="11">
        <v>905</v>
      </c>
      <c r="C217" s="12" t="s">
        <v>123</v>
      </c>
      <c r="D217" s="6" t="s">
        <v>117</v>
      </c>
      <c r="E217" s="12" t="s">
        <v>827</v>
      </c>
      <c r="F217" s="12" t="s">
        <v>50</v>
      </c>
      <c r="G217" s="53">
        <f>G218</f>
        <v>0</v>
      </c>
      <c r="H217" s="111"/>
      <c r="I217" s="112"/>
      <c r="J217" s="111"/>
      <c r="K217" s="76"/>
      <c r="L217" s="75"/>
      <c r="M217" s="75"/>
      <c r="AG217" s="75"/>
      <c r="AH217" s="75"/>
    </row>
    <row r="218" spans="1:86" ht="37.5" hidden="1" x14ac:dyDescent="0.3">
      <c r="A218" s="138" t="s">
        <v>425</v>
      </c>
      <c r="B218" s="11">
        <v>905</v>
      </c>
      <c r="C218" s="12" t="s">
        <v>123</v>
      </c>
      <c r="D218" s="6" t="s">
        <v>117</v>
      </c>
      <c r="E218" s="12" t="s">
        <v>827</v>
      </c>
      <c r="F218" s="12" t="s">
        <v>59</v>
      </c>
      <c r="G218" s="53">
        <v>0</v>
      </c>
      <c r="H218" s="111"/>
      <c r="I218" s="112"/>
      <c r="J218" s="111"/>
      <c r="K218" s="76"/>
      <c r="L218" s="75"/>
      <c r="M218" s="75">
        <v>103.5</v>
      </c>
      <c r="AG218" s="75"/>
      <c r="AH218" s="75"/>
      <c r="AK218" s="75">
        <v>0</v>
      </c>
      <c r="AQ218" s="146">
        <v>186</v>
      </c>
    </row>
    <row r="219" spans="1:86" ht="102.75" hidden="1" customHeight="1" x14ac:dyDescent="0.3">
      <c r="A219" s="138" t="s">
        <v>548</v>
      </c>
      <c r="B219" s="11">
        <v>905</v>
      </c>
      <c r="C219" s="12" t="s">
        <v>123</v>
      </c>
      <c r="D219" s="6" t="s">
        <v>117</v>
      </c>
      <c r="E219" s="12" t="s">
        <v>603</v>
      </c>
      <c r="F219" s="12" t="s">
        <v>50</v>
      </c>
      <c r="G219" s="53">
        <f>G220</f>
        <v>0</v>
      </c>
      <c r="H219" s="111"/>
      <c r="I219" s="112"/>
      <c r="J219" s="111"/>
      <c r="K219" s="76"/>
      <c r="L219" s="75"/>
      <c r="M219" s="75">
        <v>85</v>
      </c>
      <c r="AG219" s="75"/>
      <c r="AH219" s="75"/>
    </row>
    <row r="220" spans="1:86" ht="60.75" hidden="1" customHeight="1" x14ac:dyDescent="0.3">
      <c r="A220" s="138" t="s">
        <v>425</v>
      </c>
      <c r="B220" s="11">
        <v>905</v>
      </c>
      <c r="C220" s="12" t="s">
        <v>123</v>
      </c>
      <c r="D220" s="6" t="s">
        <v>117</v>
      </c>
      <c r="E220" s="12" t="s">
        <v>603</v>
      </c>
      <c r="F220" s="12" t="s">
        <v>59</v>
      </c>
      <c r="G220" s="53">
        <v>0</v>
      </c>
      <c r="H220" s="111"/>
      <c r="I220" s="112"/>
      <c r="J220" s="111"/>
      <c r="K220" s="76"/>
      <c r="L220" s="75"/>
      <c r="M220" s="75"/>
      <c r="AG220" s="75"/>
      <c r="AH220" s="75"/>
      <c r="AK220" s="75">
        <v>0</v>
      </c>
    </row>
    <row r="221" spans="1:86" ht="56.25" hidden="1" x14ac:dyDescent="0.3">
      <c r="A221" s="138" t="s">
        <v>253</v>
      </c>
      <c r="B221" s="11">
        <v>905</v>
      </c>
      <c r="C221" s="12" t="s">
        <v>123</v>
      </c>
      <c r="D221" s="6" t="s">
        <v>117</v>
      </c>
      <c r="E221" s="12" t="s">
        <v>828</v>
      </c>
      <c r="F221" s="12" t="s">
        <v>50</v>
      </c>
      <c r="G221" s="53">
        <f>G222</f>
        <v>0</v>
      </c>
      <c r="H221" s="111"/>
      <c r="I221" s="112"/>
      <c r="J221" s="111"/>
      <c r="K221" s="76"/>
      <c r="L221" s="75"/>
      <c r="M221" s="75"/>
      <c r="AG221" s="75"/>
      <c r="AH221" s="75"/>
    </row>
    <row r="222" spans="1:86" ht="137.25" hidden="1" customHeight="1" x14ac:dyDescent="0.3">
      <c r="A222" s="138" t="s">
        <v>823</v>
      </c>
      <c r="B222" s="11">
        <v>905</v>
      </c>
      <c r="C222" s="12" t="s">
        <v>123</v>
      </c>
      <c r="D222" s="6" t="s">
        <v>117</v>
      </c>
      <c r="E222" s="12" t="s">
        <v>828</v>
      </c>
      <c r="F222" s="12" t="s">
        <v>50</v>
      </c>
      <c r="G222" s="53">
        <f>G223</f>
        <v>0</v>
      </c>
      <c r="H222" s="111"/>
      <c r="I222" s="112"/>
      <c r="J222" s="111"/>
      <c r="K222" s="76"/>
      <c r="L222" s="75"/>
      <c r="M222" s="75">
        <v>77.222999999999999</v>
      </c>
      <c r="AG222" s="75"/>
      <c r="AH222" s="75"/>
    </row>
    <row r="223" spans="1:86" ht="48" hidden="1" customHeight="1" x14ac:dyDescent="0.3">
      <c r="A223" s="138" t="s">
        <v>425</v>
      </c>
      <c r="B223" s="11">
        <v>905</v>
      </c>
      <c r="C223" s="12" t="s">
        <v>123</v>
      </c>
      <c r="D223" s="6" t="s">
        <v>117</v>
      </c>
      <c r="E223" s="12" t="s">
        <v>828</v>
      </c>
      <c r="F223" s="12" t="s">
        <v>59</v>
      </c>
      <c r="G223" s="53">
        <v>0</v>
      </c>
      <c r="H223" s="111"/>
      <c r="I223" s="112"/>
      <c r="J223" s="111"/>
      <c r="K223" s="76"/>
      <c r="L223" s="75"/>
      <c r="M223" s="75"/>
      <c r="AG223" s="75"/>
      <c r="AH223" s="75"/>
      <c r="AK223" s="75">
        <v>0</v>
      </c>
      <c r="AQ223" s="146">
        <v>90.379000000000005</v>
      </c>
      <c r="CH223" s="250">
        <v>-104.2</v>
      </c>
    </row>
    <row r="224" spans="1:86" ht="80.25" hidden="1" customHeight="1" x14ac:dyDescent="0.3">
      <c r="A224" s="138" t="s">
        <v>546</v>
      </c>
      <c r="B224" s="11">
        <v>905</v>
      </c>
      <c r="C224" s="12" t="s">
        <v>123</v>
      </c>
      <c r="D224" s="6" t="s">
        <v>117</v>
      </c>
      <c r="E224" s="12" t="s">
        <v>591</v>
      </c>
      <c r="F224" s="12" t="s">
        <v>59</v>
      </c>
      <c r="G224" s="53">
        <f>G225</f>
        <v>0</v>
      </c>
      <c r="H224" s="111"/>
      <c r="I224" s="112"/>
      <c r="J224" s="111"/>
      <c r="K224" s="76"/>
      <c r="L224" s="75"/>
      <c r="M224" s="75">
        <v>80.662000000000006</v>
      </c>
      <c r="AG224" s="75"/>
      <c r="AH224" s="75"/>
    </row>
    <row r="225" spans="1:118" ht="43.5" hidden="1" customHeight="1" x14ac:dyDescent="0.3">
      <c r="A225" s="138" t="s">
        <v>425</v>
      </c>
      <c r="B225" s="11">
        <v>905</v>
      </c>
      <c r="C225" s="12" t="s">
        <v>123</v>
      </c>
      <c r="D225" s="6" t="s">
        <v>117</v>
      </c>
      <c r="E225" s="12" t="s">
        <v>591</v>
      </c>
      <c r="F225" s="12" t="s">
        <v>59</v>
      </c>
      <c r="G225" s="53">
        <v>0</v>
      </c>
      <c r="H225" s="111"/>
      <c r="I225" s="112"/>
      <c r="J225" s="111"/>
      <c r="K225" s="76"/>
      <c r="L225" s="75"/>
      <c r="M225" s="75"/>
      <c r="AG225" s="75"/>
      <c r="AH225" s="75"/>
      <c r="AK225" s="75">
        <v>0</v>
      </c>
    </row>
    <row r="226" spans="1:118" x14ac:dyDescent="0.3">
      <c r="A226" s="150" t="s">
        <v>147</v>
      </c>
      <c r="B226" s="10">
        <v>905</v>
      </c>
      <c r="C226" s="7" t="s">
        <v>123</v>
      </c>
      <c r="D226" s="17" t="s">
        <v>123</v>
      </c>
      <c r="E226" s="10" t="s">
        <v>49</v>
      </c>
      <c r="F226" s="7" t="s">
        <v>50</v>
      </c>
      <c r="G226" s="64">
        <f>G227</f>
        <v>6121.6106</v>
      </c>
      <c r="H226" s="111"/>
      <c r="I226" s="112"/>
      <c r="J226" s="111"/>
      <c r="K226" s="76"/>
      <c r="L226" s="75"/>
      <c r="M226" s="75"/>
      <c r="AG226" s="75"/>
      <c r="AH226" s="75"/>
    </row>
    <row r="227" spans="1:118" ht="45.75" customHeight="1" x14ac:dyDescent="0.3">
      <c r="A227" s="138" t="s">
        <v>38</v>
      </c>
      <c r="B227" s="11">
        <v>905</v>
      </c>
      <c r="C227" s="12" t="s">
        <v>123</v>
      </c>
      <c r="D227" s="12" t="s">
        <v>123</v>
      </c>
      <c r="E227" s="13" t="s">
        <v>25</v>
      </c>
      <c r="F227" s="12" t="s">
        <v>50</v>
      </c>
      <c r="G227" s="53">
        <f>G228+G233+G255+G267</f>
        <v>6121.6106</v>
      </c>
      <c r="H227" s="111"/>
      <c r="I227" s="112"/>
      <c r="J227" s="111"/>
      <c r="K227" s="76"/>
      <c r="L227" s="75"/>
      <c r="M227" s="75"/>
      <c r="AG227" s="75"/>
      <c r="AH227" s="75"/>
    </row>
    <row r="228" spans="1:118" ht="56.25" x14ac:dyDescent="0.3">
      <c r="A228" s="138" t="s">
        <v>138</v>
      </c>
      <c r="B228" s="11">
        <v>905</v>
      </c>
      <c r="C228" s="12" t="s">
        <v>123</v>
      </c>
      <c r="D228" s="12" t="s">
        <v>123</v>
      </c>
      <c r="E228" s="13" t="s">
        <v>51</v>
      </c>
      <c r="F228" s="12" t="s">
        <v>50</v>
      </c>
      <c r="G228" s="53">
        <f>G229</f>
        <v>47.745999999999995</v>
      </c>
      <c r="H228" s="111"/>
      <c r="I228" s="112"/>
      <c r="J228" s="111"/>
      <c r="K228" s="76"/>
      <c r="L228" s="75"/>
      <c r="M228" s="75"/>
      <c r="AG228" s="75"/>
      <c r="AH228" s="75"/>
    </row>
    <row r="229" spans="1:118" x14ac:dyDescent="0.3">
      <c r="A229" s="138" t="s">
        <v>62</v>
      </c>
      <c r="B229" s="11">
        <v>905</v>
      </c>
      <c r="C229" s="12" t="s">
        <v>123</v>
      </c>
      <c r="D229" s="12" t="s">
        <v>123</v>
      </c>
      <c r="E229" s="13" t="s">
        <v>63</v>
      </c>
      <c r="F229" s="12" t="s">
        <v>50</v>
      </c>
      <c r="G229" s="53">
        <f>G230</f>
        <v>47.745999999999995</v>
      </c>
      <c r="H229" s="111"/>
      <c r="I229" s="112"/>
      <c r="J229" s="111"/>
      <c r="K229" s="76"/>
      <c r="L229" s="75"/>
      <c r="M229" s="75"/>
      <c r="AG229" s="75"/>
      <c r="AH229" s="75"/>
    </row>
    <row r="230" spans="1:118" ht="27" customHeight="1" x14ac:dyDescent="0.3">
      <c r="A230" s="138" t="s">
        <v>146</v>
      </c>
      <c r="B230" s="11">
        <v>905</v>
      </c>
      <c r="C230" s="12" t="s">
        <v>123</v>
      </c>
      <c r="D230" s="12" t="s">
        <v>123</v>
      </c>
      <c r="E230" s="13" t="s">
        <v>148</v>
      </c>
      <c r="F230" s="12" t="s">
        <v>50</v>
      </c>
      <c r="G230" s="53">
        <f>G231+G232</f>
        <v>47.745999999999995</v>
      </c>
      <c r="H230" s="111"/>
      <c r="I230" s="112"/>
      <c r="J230" s="111"/>
      <c r="K230" s="76"/>
      <c r="L230" s="75"/>
      <c r="M230" s="75"/>
      <c r="AG230" s="75"/>
      <c r="AH230" s="75"/>
    </row>
    <row r="231" spans="1:118" ht="37.5" x14ac:dyDescent="0.3">
      <c r="A231" s="138" t="s">
        <v>425</v>
      </c>
      <c r="B231" s="11">
        <v>905</v>
      </c>
      <c r="C231" s="12" t="s">
        <v>123</v>
      </c>
      <c r="D231" s="12" t="s">
        <v>123</v>
      </c>
      <c r="E231" s="13" t="s">
        <v>148</v>
      </c>
      <c r="F231" s="13" t="s">
        <v>59</v>
      </c>
      <c r="G231" s="68">
        <f>CZ231+DD231+DN231</f>
        <v>38.745999999999995</v>
      </c>
      <c r="H231" s="111"/>
      <c r="I231" s="112"/>
      <c r="J231" s="111"/>
      <c r="K231" s="76"/>
      <c r="L231" s="75"/>
      <c r="M231" s="75"/>
      <c r="T231">
        <v>13.9</v>
      </c>
      <c r="W231">
        <v>-1</v>
      </c>
      <c r="AG231" s="75"/>
      <c r="AH231" s="75"/>
      <c r="AK231" s="75">
        <v>0</v>
      </c>
      <c r="BJ231" s="187">
        <v>-5</v>
      </c>
      <c r="CB231" s="218">
        <v>13.4</v>
      </c>
      <c r="CZ231" s="187">
        <v>33.299999999999997</v>
      </c>
      <c r="DD231" s="187">
        <v>18</v>
      </c>
      <c r="DN231" s="260">
        <v>-12.554</v>
      </c>
    </row>
    <row r="232" spans="1:118" ht="29.25" customHeight="1" x14ac:dyDescent="0.3">
      <c r="A232" s="138" t="s">
        <v>175</v>
      </c>
      <c r="B232" s="11">
        <v>905</v>
      </c>
      <c r="C232" s="12" t="s">
        <v>123</v>
      </c>
      <c r="D232" s="12" t="s">
        <v>123</v>
      </c>
      <c r="E232" s="13" t="s">
        <v>148</v>
      </c>
      <c r="F232" s="13" t="s">
        <v>176</v>
      </c>
      <c r="G232" s="68">
        <f>CZ232</f>
        <v>9</v>
      </c>
      <c r="H232" s="111"/>
      <c r="I232" s="112"/>
      <c r="J232" s="111"/>
      <c r="K232" s="76"/>
      <c r="L232" s="75"/>
      <c r="M232" s="75"/>
      <c r="T232">
        <v>6</v>
      </c>
      <c r="AG232" s="75"/>
      <c r="AH232" s="75"/>
      <c r="AK232" s="75">
        <v>0</v>
      </c>
      <c r="CB232" s="218">
        <v>6</v>
      </c>
      <c r="CG232" s="187">
        <v>3</v>
      </c>
      <c r="CZ232" s="187">
        <v>9</v>
      </c>
    </row>
    <row r="233" spans="1:118" ht="56.25" x14ac:dyDescent="0.3">
      <c r="A233" s="151" t="s">
        <v>140</v>
      </c>
      <c r="B233" s="11">
        <v>905</v>
      </c>
      <c r="C233" s="12" t="s">
        <v>123</v>
      </c>
      <c r="D233" s="12" t="s">
        <v>123</v>
      </c>
      <c r="E233" s="13" t="s">
        <v>77</v>
      </c>
      <c r="F233" s="13" t="s">
        <v>50</v>
      </c>
      <c r="G233" s="53">
        <f>G234+G248+G252</f>
        <v>2599.5835999999999</v>
      </c>
      <c r="H233" s="111"/>
      <c r="I233" s="112"/>
      <c r="J233" s="111"/>
      <c r="K233" s="76"/>
      <c r="L233" s="75"/>
      <c r="M233" s="75"/>
      <c r="AG233" s="75"/>
      <c r="AH233" s="75"/>
    </row>
    <row r="234" spans="1:118" x14ac:dyDescent="0.3">
      <c r="A234" s="138" t="s">
        <v>62</v>
      </c>
      <c r="B234" s="11">
        <v>905</v>
      </c>
      <c r="C234" s="12" t="s">
        <v>123</v>
      </c>
      <c r="D234" s="6" t="s">
        <v>123</v>
      </c>
      <c r="E234" s="12" t="s">
        <v>152</v>
      </c>
      <c r="F234" s="12" t="s">
        <v>50</v>
      </c>
      <c r="G234" s="53">
        <f>G237+G235+G241+G243+G246+G239</f>
        <v>1247.8499999999999</v>
      </c>
      <c r="H234" s="111"/>
      <c r="I234" s="112"/>
      <c r="J234" s="111"/>
      <c r="K234" s="76"/>
      <c r="L234" s="75"/>
      <c r="M234" s="75"/>
      <c r="AG234" s="75"/>
      <c r="AH234" s="75"/>
    </row>
    <row r="235" spans="1:118" x14ac:dyDescent="0.3">
      <c r="A235" s="138" t="s">
        <v>164</v>
      </c>
      <c r="B235" s="11">
        <v>905</v>
      </c>
      <c r="C235" s="12" t="s">
        <v>123</v>
      </c>
      <c r="D235" s="6" t="s">
        <v>123</v>
      </c>
      <c r="E235" s="12" t="s">
        <v>455</v>
      </c>
      <c r="F235" s="12" t="s">
        <v>50</v>
      </c>
      <c r="G235" s="53">
        <f>G236+G245</f>
        <v>63</v>
      </c>
      <c r="H235" s="111"/>
      <c r="I235" s="112"/>
      <c r="J235" s="111"/>
      <c r="K235" s="76"/>
      <c r="L235" s="75"/>
      <c r="M235" s="75"/>
      <c r="AG235" s="75"/>
      <c r="AH235" s="75"/>
    </row>
    <row r="236" spans="1:118" ht="37.5" x14ac:dyDescent="0.3">
      <c r="A236" s="138" t="s">
        <v>425</v>
      </c>
      <c r="B236" s="11">
        <v>905</v>
      </c>
      <c r="C236" s="12" t="s">
        <v>123</v>
      </c>
      <c r="D236" s="6" t="s">
        <v>123</v>
      </c>
      <c r="E236" s="12" t="s">
        <v>455</v>
      </c>
      <c r="F236" s="12" t="s">
        <v>59</v>
      </c>
      <c r="G236" s="53">
        <f>CZ236</f>
        <v>63</v>
      </c>
      <c r="H236" s="111"/>
      <c r="I236" s="112"/>
      <c r="J236" s="111"/>
      <c r="K236" s="76"/>
      <c r="L236" s="75"/>
      <c r="M236" s="75"/>
      <c r="U236">
        <v>0.53</v>
      </c>
      <c r="AG236" s="75"/>
      <c r="AH236" s="75"/>
      <c r="AK236" s="75">
        <v>0</v>
      </c>
      <c r="CZ236" s="187">
        <v>63</v>
      </c>
    </row>
    <row r="237" spans="1:118" ht="24.75" hidden="1" customHeight="1" outlineLevel="1" x14ac:dyDescent="0.3">
      <c r="A237" s="138" t="s">
        <v>156</v>
      </c>
      <c r="B237" s="11">
        <v>905</v>
      </c>
      <c r="C237" s="12" t="s">
        <v>123</v>
      </c>
      <c r="D237" s="6" t="s">
        <v>123</v>
      </c>
      <c r="E237" s="12" t="s">
        <v>157</v>
      </c>
      <c r="F237" s="12" t="s">
        <v>50</v>
      </c>
      <c r="G237" s="53">
        <f>G238</f>
        <v>0</v>
      </c>
      <c r="H237" s="111"/>
      <c r="I237" s="112"/>
      <c r="J237" s="111"/>
      <c r="K237" s="76"/>
      <c r="L237" s="75"/>
      <c r="M237" s="75"/>
      <c r="AG237" s="75"/>
      <c r="AH237" s="75"/>
    </row>
    <row r="238" spans="1:118" ht="37.5" hidden="1" outlineLevel="1" x14ac:dyDescent="0.3">
      <c r="A238" s="138" t="s">
        <v>425</v>
      </c>
      <c r="B238" s="11">
        <v>905</v>
      </c>
      <c r="C238" s="12" t="s">
        <v>123</v>
      </c>
      <c r="D238" s="6" t="s">
        <v>123</v>
      </c>
      <c r="E238" s="12" t="s">
        <v>157</v>
      </c>
      <c r="F238" s="12" t="s">
        <v>59</v>
      </c>
      <c r="G238" s="53">
        <f>7.5-7.5</f>
        <v>0</v>
      </c>
      <c r="H238" s="111"/>
      <c r="I238" s="112"/>
      <c r="J238" s="111"/>
      <c r="K238" s="76"/>
      <c r="L238" s="75"/>
      <c r="M238" s="75"/>
      <c r="AG238" s="75"/>
      <c r="AH238" s="75"/>
    </row>
    <row r="239" spans="1:118" outlineLevel="1" x14ac:dyDescent="0.3">
      <c r="A239" s="138" t="s">
        <v>311</v>
      </c>
      <c r="B239" s="11">
        <v>905</v>
      </c>
      <c r="C239" s="12" t="s">
        <v>123</v>
      </c>
      <c r="D239" s="6" t="s">
        <v>123</v>
      </c>
      <c r="E239" s="12" t="s">
        <v>758</v>
      </c>
      <c r="F239" s="12" t="s">
        <v>50</v>
      </c>
      <c r="G239" s="53">
        <f>G240</f>
        <v>84.75</v>
      </c>
      <c r="H239" s="111"/>
      <c r="I239" s="112"/>
      <c r="J239" s="111"/>
      <c r="K239" s="76"/>
      <c r="L239" s="75"/>
      <c r="M239" s="75"/>
      <c r="AG239" s="75"/>
      <c r="AH239" s="75"/>
    </row>
    <row r="240" spans="1:118" ht="37.5" outlineLevel="1" x14ac:dyDescent="0.3">
      <c r="A240" s="138" t="s">
        <v>425</v>
      </c>
      <c r="B240" s="11">
        <v>905</v>
      </c>
      <c r="C240" s="12" t="s">
        <v>123</v>
      </c>
      <c r="D240" s="6" t="s">
        <v>123</v>
      </c>
      <c r="E240" s="12" t="s">
        <v>758</v>
      </c>
      <c r="F240" s="12" t="s">
        <v>59</v>
      </c>
      <c r="G240" s="53">
        <f>DA240+DD240</f>
        <v>84.75</v>
      </c>
      <c r="H240" s="111"/>
      <c r="I240" s="112"/>
      <c r="J240" s="111"/>
      <c r="K240" s="76"/>
      <c r="L240" s="75"/>
      <c r="M240" s="75"/>
      <c r="AG240" s="75"/>
      <c r="AH240" s="75"/>
      <c r="AX240" s="96">
        <v>25.034089999999999</v>
      </c>
      <c r="CF240" s="187">
        <v>65.018000000000001</v>
      </c>
      <c r="DA240" s="260">
        <v>81.5</v>
      </c>
      <c r="DD240" s="187">
        <v>3.25</v>
      </c>
    </row>
    <row r="241" spans="1:117" x14ac:dyDescent="0.3">
      <c r="A241" s="138" t="s">
        <v>66</v>
      </c>
      <c r="B241" s="11">
        <v>905</v>
      </c>
      <c r="C241" s="12" t="s">
        <v>123</v>
      </c>
      <c r="D241" s="6" t="s">
        <v>123</v>
      </c>
      <c r="E241" s="12" t="s">
        <v>456</v>
      </c>
      <c r="F241" s="12" t="s">
        <v>50</v>
      </c>
      <c r="G241" s="53">
        <f>G242</f>
        <v>1100.0999999999999</v>
      </c>
      <c r="H241" s="111"/>
      <c r="I241" s="112"/>
      <c r="J241" s="111"/>
      <c r="K241" s="76"/>
      <c r="L241" s="75"/>
      <c r="M241" s="75"/>
      <c r="AG241" s="75"/>
      <c r="AH241" s="75"/>
    </row>
    <row r="242" spans="1:117" ht="37.5" x14ac:dyDescent="0.3">
      <c r="A242" s="138" t="s">
        <v>425</v>
      </c>
      <c r="B242" s="11">
        <v>905</v>
      </c>
      <c r="C242" s="12" t="s">
        <v>123</v>
      </c>
      <c r="D242" s="6" t="s">
        <v>123</v>
      </c>
      <c r="E242" s="12" t="s">
        <v>456</v>
      </c>
      <c r="F242" s="12" t="s">
        <v>59</v>
      </c>
      <c r="G242" s="53">
        <f>CZ242</f>
        <v>1100.0999999999999</v>
      </c>
      <c r="H242" s="111"/>
      <c r="I242" s="112"/>
      <c r="J242" s="111"/>
      <c r="K242" s="76"/>
      <c r="L242" s="75"/>
      <c r="M242" s="75"/>
      <c r="AG242" s="75"/>
      <c r="AH242" s="75"/>
      <c r="AX242" s="96">
        <v>1034.3476000000001</v>
      </c>
      <c r="BL242" s="187">
        <f>-18.4-17-14.3</f>
        <v>-49.7</v>
      </c>
      <c r="CZ242" s="187">
        <v>1100.0999999999999</v>
      </c>
    </row>
    <row r="243" spans="1:117" ht="40.5" hidden="1" customHeight="1" x14ac:dyDescent="0.3">
      <c r="A243" s="138" t="s">
        <v>500</v>
      </c>
      <c r="B243" s="11">
        <v>905</v>
      </c>
      <c r="C243" s="12" t="s">
        <v>123</v>
      </c>
      <c r="D243" s="6" t="s">
        <v>123</v>
      </c>
      <c r="E243" s="12" t="s">
        <v>499</v>
      </c>
      <c r="F243" s="12" t="s">
        <v>50</v>
      </c>
      <c r="G243" s="53">
        <f>G244</f>
        <v>0</v>
      </c>
      <c r="H243" s="111"/>
      <c r="I243" s="112"/>
      <c r="J243" s="111"/>
      <c r="K243" s="76"/>
      <c r="L243" s="75"/>
      <c r="M243" s="75"/>
      <c r="AG243" s="75"/>
      <c r="AH243" s="75"/>
    </row>
    <row r="244" spans="1:117" ht="37.5" hidden="1" x14ac:dyDescent="0.3">
      <c r="A244" s="138" t="s">
        <v>425</v>
      </c>
      <c r="B244" s="11">
        <v>905</v>
      </c>
      <c r="C244" s="12" t="s">
        <v>123</v>
      </c>
      <c r="D244" s="6" t="s">
        <v>123</v>
      </c>
      <c r="E244" s="12" t="s">
        <v>499</v>
      </c>
      <c r="F244" s="12" t="s">
        <v>59</v>
      </c>
      <c r="G244" s="53">
        <v>0</v>
      </c>
      <c r="H244" s="111"/>
      <c r="I244" s="112"/>
      <c r="J244" s="111"/>
      <c r="K244" s="76"/>
      <c r="L244" s="75"/>
      <c r="M244" s="75"/>
      <c r="AG244" s="75"/>
      <c r="AH244" s="75"/>
    </row>
    <row r="245" spans="1:117" ht="56.25" hidden="1" x14ac:dyDescent="0.3">
      <c r="A245" s="138" t="s">
        <v>264</v>
      </c>
      <c r="B245" s="11">
        <v>905</v>
      </c>
      <c r="C245" s="12" t="s">
        <v>123</v>
      </c>
      <c r="D245" s="6" t="s">
        <v>123</v>
      </c>
      <c r="E245" s="12" t="s">
        <v>455</v>
      </c>
      <c r="F245" s="12" t="s">
        <v>261</v>
      </c>
      <c r="G245" s="53">
        <v>0</v>
      </c>
      <c r="H245" s="111"/>
      <c r="I245" s="112"/>
      <c r="J245" s="111"/>
      <c r="K245" s="76"/>
      <c r="L245" s="75"/>
      <c r="M245" s="75"/>
      <c r="U245">
        <v>0.13</v>
      </c>
      <c r="W245">
        <v>2.2800000000000001E-2</v>
      </c>
      <c r="AG245" s="75"/>
      <c r="AH245" s="75">
        <v>8.8450000000000006</v>
      </c>
      <c r="AK245" s="75">
        <v>0</v>
      </c>
    </row>
    <row r="246" spans="1:117" ht="37.5" hidden="1" x14ac:dyDescent="0.3">
      <c r="A246" s="138" t="s">
        <v>75</v>
      </c>
      <c r="B246" s="11">
        <v>905</v>
      </c>
      <c r="C246" s="12" t="s">
        <v>123</v>
      </c>
      <c r="D246" s="6" t="s">
        <v>123</v>
      </c>
      <c r="E246" s="12" t="s">
        <v>614</v>
      </c>
      <c r="F246" s="12" t="s">
        <v>50</v>
      </c>
      <c r="G246" s="53">
        <f>G247</f>
        <v>0</v>
      </c>
      <c r="H246" s="111"/>
      <c r="I246" s="112"/>
      <c r="J246" s="111"/>
      <c r="K246" s="76"/>
      <c r="L246" s="75"/>
      <c r="M246" s="75"/>
      <c r="AG246" s="75"/>
      <c r="AH246" s="75"/>
    </row>
    <row r="247" spans="1:117" ht="37.5" hidden="1" x14ac:dyDescent="0.3">
      <c r="A247" s="138" t="s">
        <v>425</v>
      </c>
      <c r="B247" s="11">
        <v>905</v>
      </c>
      <c r="C247" s="12" t="s">
        <v>123</v>
      </c>
      <c r="D247" s="6" t="s">
        <v>123</v>
      </c>
      <c r="E247" s="12" t="s">
        <v>614</v>
      </c>
      <c r="F247" s="12" t="s">
        <v>59</v>
      </c>
      <c r="G247" s="53">
        <v>0</v>
      </c>
      <c r="H247" s="111"/>
      <c r="I247" s="112"/>
      <c r="J247" s="111"/>
      <c r="K247" s="76"/>
      <c r="L247" s="75"/>
      <c r="M247" s="75"/>
      <c r="W247">
        <v>532.6</v>
      </c>
      <c r="AG247" s="75"/>
      <c r="AH247" s="75"/>
      <c r="AK247" s="75">
        <v>0</v>
      </c>
    </row>
    <row r="248" spans="1:117" ht="75" x14ac:dyDescent="0.3">
      <c r="A248" s="138" t="s">
        <v>249</v>
      </c>
      <c r="B248" s="11">
        <v>905</v>
      </c>
      <c r="C248" s="12" t="s">
        <v>123</v>
      </c>
      <c r="D248" s="6" t="s">
        <v>123</v>
      </c>
      <c r="E248" s="12" t="s">
        <v>859</v>
      </c>
      <c r="F248" s="12" t="s">
        <v>50</v>
      </c>
      <c r="G248" s="53">
        <f>G249</f>
        <v>1337.6899600000002</v>
      </c>
      <c r="H248" s="111"/>
      <c r="I248" s="112"/>
      <c r="J248" s="111"/>
      <c r="K248" s="76"/>
      <c r="L248" s="75"/>
      <c r="M248" s="75"/>
      <c r="AG248" s="75"/>
      <c r="AH248" s="75"/>
    </row>
    <row r="249" spans="1:117" ht="44.25" customHeight="1" x14ac:dyDescent="0.3">
      <c r="A249" s="138" t="s">
        <v>301</v>
      </c>
      <c r="B249" s="11">
        <v>905</v>
      </c>
      <c r="C249" s="12" t="s">
        <v>123</v>
      </c>
      <c r="D249" s="6" t="s">
        <v>123</v>
      </c>
      <c r="E249" s="12" t="s">
        <v>860</v>
      </c>
      <c r="F249" s="12" t="s">
        <v>50</v>
      </c>
      <c r="G249" s="53">
        <f>G250+G251</f>
        <v>1337.6899600000002</v>
      </c>
      <c r="H249" s="111"/>
      <c r="I249" s="112"/>
      <c r="J249" s="111"/>
      <c r="K249" s="76"/>
      <c r="L249" s="75"/>
      <c r="M249" s="75"/>
      <c r="AG249" s="75"/>
      <c r="AH249" s="75"/>
      <c r="BA249" s="187">
        <v>-3.9047999999999998</v>
      </c>
    </row>
    <row r="250" spans="1:117" ht="37.5" x14ac:dyDescent="0.3">
      <c r="A250" s="138" t="s">
        <v>425</v>
      </c>
      <c r="B250" s="11">
        <v>905</v>
      </c>
      <c r="C250" s="12" t="s">
        <v>123</v>
      </c>
      <c r="D250" s="6" t="s">
        <v>123</v>
      </c>
      <c r="E250" s="12" t="s">
        <v>860</v>
      </c>
      <c r="F250" s="12" t="s">
        <v>59</v>
      </c>
      <c r="G250" s="53">
        <f>CQ250+DA250+DB250+DM250</f>
        <v>993.90652000000023</v>
      </c>
      <c r="H250" s="122"/>
      <c r="I250" s="123">
        <v>1342.6</v>
      </c>
      <c r="J250" s="122"/>
      <c r="K250" s="76"/>
      <c r="L250" s="75"/>
      <c r="M250" s="75"/>
      <c r="AG250" s="75"/>
      <c r="AH250" s="75"/>
      <c r="AK250" s="75">
        <v>481.84</v>
      </c>
      <c r="AX250" s="96">
        <f>-1164.51492+192.17739+178.88015+107.38084+28.49418</f>
        <v>-657.58235999999999</v>
      </c>
      <c r="BH250" s="225">
        <v>-1.31918</v>
      </c>
      <c r="BK250" s="218">
        <v>-178.09</v>
      </c>
      <c r="BO250" s="230">
        <v>1353.01</v>
      </c>
      <c r="BY250" s="146">
        <v>576.5</v>
      </c>
      <c r="CD250" s="218">
        <v>-1157.2822900000001</v>
      </c>
      <c r="CQ250" s="94">
        <v>1929.52</v>
      </c>
      <c r="DA250" s="260">
        <v>-1147.8574799999999</v>
      </c>
      <c r="DB250" s="187">
        <v>282.80130000000003</v>
      </c>
      <c r="DM250" s="187">
        <v>-70.557299999999998</v>
      </c>
    </row>
    <row r="251" spans="1:117" ht="56.25" x14ac:dyDescent="0.3">
      <c r="A251" s="138" t="s">
        <v>264</v>
      </c>
      <c r="B251" s="11">
        <v>905</v>
      </c>
      <c r="C251" s="12" t="s">
        <v>123</v>
      </c>
      <c r="D251" s="6" t="s">
        <v>123</v>
      </c>
      <c r="E251" s="12" t="s">
        <v>860</v>
      </c>
      <c r="F251" s="12" t="s">
        <v>261</v>
      </c>
      <c r="G251" s="53">
        <f>DA251+DB251</f>
        <v>343.78343999999998</v>
      </c>
      <c r="H251" s="122"/>
      <c r="I251" s="123"/>
      <c r="J251" s="122"/>
      <c r="K251" s="76"/>
      <c r="L251" s="75">
        <v>162</v>
      </c>
      <c r="M251" s="75"/>
      <c r="AG251" s="75"/>
      <c r="AH251" s="75"/>
      <c r="AK251" s="75">
        <v>163.63999999999999</v>
      </c>
      <c r="AX251" s="96">
        <v>102.89565</v>
      </c>
      <c r="BA251" s="187">
        <v>-8.4427199999999996</v>
      </c>
      <c r="BH251" s="225">
        <v>1.31918</v>
      </c>
      <c r="CD251" s="218">
        <v>1157.2822900000001</v>
      </c>
      <c r="DA251" s="260">
        <v>249.78294</v>
      </c>
      <c r="DB251" s="187">
        <v>94.000500000000002</v>
      </c>
    </row>
    <row r="252" spans="1:117" ht="42" customHeight="1" x14ac:dyDescent="0.3">
      <c r="A252" s="138" t="s">
        <v>301</v>
      </c>
      <c r="B252" s="11">
        <v>905</v>
      </c>
      <c r="C252" s="12" t="s">
        <v>123</v>
      </c>
      <c r="D252" s="6" t="s">
        <v>123</v>
      </c>
      <c r="E252" s="12" t="s">
        <v>861</v>
      </c>
      <c r="F252" s="12" t="s">
        <v>50</v>
      </c>
      <c r="G252" s="53">
        <f>G253+G254</f>
        <v>14.04364</v>
      </c>
      <c r="H252" s="111"/>
      <c r="I252" s="112"/>
      <c r="J252" s="111"/>
      <c r="K252" s="76"/>
      <c r="L252" s="75"/>
      <c r="M252" s="75"/>
      <c r="AG252" s="75"/>
      <c r="AH252" s="75"/>
    </row>
    <row r="253" spans="1:117" ht="37.5" x14ac:dyDescent="0.3">
      <c r="A253" s="138" t="s">
        <v>425</v>
      </c>
      <c r="B253" s="11">
        <v>905</v>
      </c>
      <c r="C253" s="12" t="s">
        <v>123</v>
      </c>
      <c r="D253" s="6" t="s">
        <v>123</v>
      </c>
      <c r="E253" s="12" t="s">
        <v>861</v>
      </c>
      <c r="F253" s="12" t="s">
        <v>59</v>
      </c>
      <c r="G253" s="53">
        <f>CQ253+DA253+DB253+DM253</f>
        <v>10.57108</v>
      </c>
      <c r="H253" s="122"/>
      <c r="I253" s="123"/>
      <c r="J253" s="122">
        <v>13.6</v>
      </c>
      <c r="K253" s="76"/>
      <c r="L253" s="75"/>
      <c r="M253" s="75"/>
      <c r="AG253" s="75"/>
      <c r="AH253" s="75"/>
      <c r="AK253" s="75">
        <v>4.84</v>
      </c>
      <c r="AX253" s="96">
        <f>-11.76208+1.94051+1.80685+1.08466+0.28782</f>
        <v>-6.6422399999999993</v>
      </c>
      <c r="BA253" s="187">
        <v>-3.9449999999999999E-2</v>
      </c>
      <c r="BH253" s="225">
        <v>-1.333E-2</v>
      </c>
      <c r="BP253" s="231">
        <v>13.7</v>
      </c>
      <c r="BX253" s="146">
        <v>5.9</v>
      </c>
      <c r="CD253" s="218">
        <v>-11.69271</v>
      </c>
      <c r="CQ253" s="94">
        <v>20</v>
      </c>
      <c r="DA253" s="260">
        <v>-11.594519999999999</v>
      </c>
      <c r="DB253" s="187">
        <v>2.8782999999999999</v>
      </c>
      <c r="DM253" s="187">
        <v>-0.7127</v>
      </c>
    </row>
    <row r="254" spans="1:117" ht="56.25" x14ac:dyDescent="0.3">
      <c r="A254" s="138" t="s">
        <v>264</v>
      </c>
      <c r="B254" s="11">
        <v>905</v>
      </c>
      <c r="C254" s="12" t="s">
        <v>123</v>
      </c>
      <c r="D254" s="6" t="s">
        <v>123</v>
      </c>
      <c r="E254" s="12" t="s">
        <v>861</v>
      </c>
      <c r="F254" s="12" t="s">
        <v>261</v>
      </c>
      <c r="G254" s="53">
        <f>DA254+DB254</f>
        <v>3.4725600000000001</v>
      </c>
      <c r="H254" s="122"/>
      <c r="I254" s="123"/>
      <c r="J254" s="122"/>
      <c r="K254" s="76"/>
      <c r="L254" s="75">
        <v>1.6364000000000001</v>
      </c>
      <c r="M254" s="75"/>
      <c r="AG254" s="75"/>
      <c r="AH254" s="75"/>
      <c r="AK254" s="75">
        <v>1.64</v>
      </c>
      <c r="AX254" s="96">
        <v>1.03935</v>
      </c>
      <c r="BA254" s="187">
        <v>-8.5279999999999995E-2</v>
      </c>
      <c r="BH254" s="225">
        <v>1.333E-2</v>
      </c>
      <c r="CD254" s="218">
        <v>11.69271</v>
      </c>
      <c r="DA254" s="260">
        <v>2.5230600000000001</v>
      </c>
      <c r="DB254" s="187">
        <v>0.94950000000000001</v>
      </c>
    </row>
    <row r="255" spans="1:117" ht="37.5" x14ac:dyDescent="0.3">
      <c r="A255" s="151" t="s">
        <v>141</v>
      </c>
      <c r="B255" s="11">
        <v>905</v>
      </c>
      <c r="C255" s="12" t="s">
        <v>123</v>
      </c>
      <c r="D255" s="6" t="s">
        <v>123</v>
      </c>
      <c r="E255" s="13" t="s">
        <v>79</v>
      </c>
      <c r="F255" s="13" t="s">
        <v>50</v>
      </c>
      <c r="G255" s="53">
        <f>G256+G264+G282</f>
        <v>3474.2810000000004</v>
      </c>
      <c r="H255" s="111"/>
      <c r="I255" s="112"/>
      <c r="J255" s="111"/>
      <c r="K255" s="76"/>
      <c r="L255" s="75"/>
      <c r="M255" s="75"/>
      <c r="AG255" s="75"/>
      <c r="AH255" s="75"/>
    </row>
    <row r="256" spans="1:117" ht="37.5" x14ac:dyDescent="0.3">
      <c r="A256" s="138" t="s">
        <v>52</v>
      </c>
      <c r="B256" s="11">
        <v>905</v>
      </c>
      <c r="C256" s="12" t="s">
        <v>123</v>
      </c>
      <c r="D256" s="6" t="s">
        <v>123</v>
      </c>
      <c r="E256" s="12" t="s">
        <v>162</v>
      </c>
      <c r="F256" s="12" t="s">
        <v>50</v>
      </c>
      <c r="G256" s="53">
        <f>G257+G261</f>
        <v>3474.2810000000004</v>
      </c>
      <c r="H256" s="111"/>
      <c r="I256" s="112"/>
      <c r="J256" s="111"/>
      <c r="K256" s="76"/>
      <c r="L256" s="75"/>
      <c r="M256" s="75"/>
      <c r="AG256" s="75"/>
      <c r="AH256" s="75"/>
    </row>
    <row r="257" spans="1:118" x14ac:dyDescent="0.3">
      <c r="A257" s="138" t="s">
        <v>82</v>
      </c>
      <c r="B257" s="11">
        <v>905</v>
      </c>
      <c r="C257" s="12" t="s">
        <v>123</v>
      </c>
      <c r="D257" s="6" t="s">
        <v>123</v>
      </c>
      <c r="E257" s="12" t="s">
        <v>163</v>
      </c>
      <c r="F257" s="12" t="s">
        <v>50</v>
      </c>
      <c r="G257" s="53">
        <f>G258+G259+G281+G260</f>
        <v>3308.9000000000005</v>
      </c>
      <c r="H257" s="111"/>
      <c r="I257" s="112"/>
      <c r="J257" s="111"/>
      <c r="K257" s="76"/>
      <c r="L257" s="75"/>
      <c r="M257" s="75"/>
      <c r="AG257" s="75"/>
      <c r="AH257" s="75"/>
    </row>
    <row r="258" spans="1:118" ht="93.75" x14ac:dyDescent="0.3">
      <c r="A258" s="138" t="s">
        <v>56</v>
      </c>
      <c r="B258" s="11">
        <v>905</v>
      </c>
      <c r="C258" s="12" t="s">
        <v>123</v>
      </c>
      <c r="D258" s="6" t="s">
        <v>123</v>
      </c>
      <c r="E258" s="12" t="s">
        <v>163</v>
      </c>
      <c r="F258" s="12" t="s">
        <v>57</v>
      </c>
      <c r="G258" s="53">
        <f>CS258+DN258</f>
        <v>2826.4</v>
      </c>
      <c r="H258" s="120">
        <v>2313.1999999999998</v>
      </c>
      <c r="I258" s="121"/>
      <c r="J258" s="120"/>
      <c r="K258" s="76"/>
      <c r="L258" s="75"/>
      <c r="M258" s="75"/>
      <c r="AG258" s="75"/>
      <c r="AH258" s="75"/>
      <c r="AK258" s="75">
        <v>1815</v>
      </c>
      <c r="BM258" s="95">
        <v>2408.4</v>
      </c>
      <c r="CP258" s="251">
        <v>313.2</v>
      </c>
      <c r="CS258" s="255">
        <v>2808.1</v>
      </c>
      <c r="DN258" s="260">
        <v>18.3</v>
      </c>
    </row>
    <row r="259" spans="1:118" ht="37.5" x14ac:dyDescent="0.3">
      <c r="A259" s="138" t="s">
        <v>425</v>
      </c>
      <c r="B259" s="11">
        <v>905</v>
      </c>
      <c r="C259" s="12" t="s">
        <v>123</v>
      </c>
      <c r="D259" s="6" t="s">
        <v>123</v>
      </c>
      <c r="E259" s="12" t="s">
        <v>163</v>
      </c>
      <c r="F259" s="12" t="s">
        <v>59</v>
      </c>
      <c r="G259" s="53">
        <f>CS259+CU259+DD259+DF259</f>
        <v>410.70000000000005</v>
      </c>
      <c r="H259" s="120">
        <v>332.5</v>
      </c>
      <c r="I259" s="121"/>
      <c r="J259" s="120"/>
      <c r="K259" s="76"/>
      <c r="L259" s="75"/>
      <c r="M259" s="75">
        <v>44.4</v>
      </c>
      <c r="AC259">
        <v>15</v>
      </c>
      <c r="AG259" s="75"/>
      <c r="AH259" s="75"/>
      <c r="AK259" s="75">
        <v>264.5</v>
      </c>
      <c r="BJ259" s="187">
        <v>-41.8</v>
      </c>
      <c r="BL259" s="187">
        <v>-13.4</v>
      </c>
      <c r="BM259" s="95">
        <f>263.5+844.4</f>
        <v>1107.9000000000001</v>
      </c>
      <c r="BQ259">
        <v>844.4</v>
      </c>
      <c r="CB259" s="218">
        <f>55.7-0.13795</f>
        <v>55.562050000000006</v>
      </c>
      <c r="CD259" s="218">
        <v>56.2</v>
      </c>
      <c r="CG259" s="187">
        <v>33.5</v>
      </c>
      <c r="CH259" s="250">
        <v>43.9</v>
      </c>
      <c r="CP259" s="251">
        <f>6.1+10.7</f>
        <v>16.799999999999997</v>
      </c>
      <c r="CS259" s="255">
        <f>239.2+142</f>
        <v>381.2</v>
      </c>
      <c r="CU259" s="250">
        <v>5.0999999999999996</v>
      </c>
      <c r="DD259" s="187">
        <v>11.1</v>
      </c>
      <c r="DF259" s="187">
        <v>13.3</v>
      </c>
    </row>
    <row r="260" spans="1:118" x14ac:dyDescent="0.3">
      <c r="A260" s="138" t="s">
        <v>60</v>
      </c>
      <c r="B260" s="11">
        <v>905</v>
      </c>
      <c r="C260" s="12" t="s">
        <v>123</v>
      </c>
      <c r="D260" s="6" t="s">
        <v>123</v>
      </c>
      <c r="E260" s="12" t="s">
        <v>163</v>
      </c>
      <c r="F260" s="12" t="s">
        <v>61</v>
      </c>
      <c r="G260" s="53">
        <f>DI260+96.1</f>
        <v>71.8</v>
      </c>
      <c r="H260" s="120"/>
      <c r="I260" s="121"/>
      <c r="J260" s="120"/>
      <c r="K260" s="76"/>
      <c r="L260" s="75"/>
      <c r="M260" s="75"/>
      <c r="AG260" s="75"/>
      <c r="AH260" s="75"/>
      <c r="DI260" s="260">
        <v>-24.3</v>
      </c>
    </row>
    <row r="261" spans="1:118" ht="37.5" x14ac:dyDescent="0.3">
      <c r="A261" s="157" t="s">
        <v>374</v>
      </c>
      <c r="B261" s="11">
        <v>905</v>
      </c>
      <c r="C261" s="12" t="s">
        <v>123</v>
      </c>
      <c r="D261" s="6" t="s">
        <v>123</v>
      </c>
      <c r="E261" s="12" t="s">
        <v>507</v>
      </c>
      <c r="F261" s="12" t="s">
        <v>50</v>
      </c>
      <c r="G261" s="53">
        <f>G262+G263</f>
        <v>165.381</v>
      </c>
      <c r="H261" s="111"/>
      <c r="I261" s="112"/>
      <c r="J261" s="111"/>
      <c r="K261" s="76"/>
      <c r="L261" s="75"/>
      <c r="M261" s="75"/>
      <c r="AG261" s="75"/>
      <c r="AH261" s="75"/>
    </row>
    <row r="262" spans="1:118" ht="93.75" x14ac:dyDescent="0.3">
      <c r="A262" s="138" t="s">
        <v>56</v>
      </c>
      <c r="B262" s="11">
        <v>905</v>
      </c>
      <c r="C262" s="12" t="s">
        <v>123</v>
      </c>
      <c r="D262" s="6" t="s">
        <v>123</v>
      </c>
      <c r="E262" s="12" t="s">
        <v>507</v>
      </c>
      <c r="F262" s="12" t="s">
        <v>57</v>
      </c>
      <c r="G262" s="53">
        <f>DI262</f>
        <v>141.80000000000001</v>
      </c>
      <c r="H262" s="111"/>
      <c r="I262" s="112"/>
      <c r="J262" s="111"/>
      <c r="K262" s="76"/>
      <c r="L262" s="75"/>
      <c r="M262" s="75"/>
      <c r="AG262" s="75">
        <v>36.799999999999997</v>
      </c>
      <c r="AH262" s="75"/>
      <c r="AK262" s="75">
        <v>0</v>
      </c>
      <c r="AP262" s="146">
        <v>48.3</v>
      </c>
      <c r="BK262" s="218">
        <v>17.399999999999999</v>
      </c>
      <c r="DI262" s="260">
        <v>141.80000000000001</v>
      </c>
    </row>
    <row r="263" spans="1:118" x14ac:dyDescent="0.3">
      <c r="A263" s="138" t="s">
        <v>60</v>
      </c>
      <c r="B263" s="11">
        <v>905</v>
      </c>
      <c r="C263" s="12" t="s">
        <v>123</v>
      </c>
      <c r="D263" s="6" t="s">
        <v>123</v>
      </c>
      <c r="E263" s="12" t="s">
        <v>507</v>
      </c>
      <c r="F263" s="12" t="s">
        <v>61</v>
      </c>
      <c r="G263" s="31">
        <f>DI263</f>
        <v>23.581</v>
      </c>
      <c r="H263" s="111"/>
      <c r="I263" s="112"/>
      <c r="J263" s="111"/>
      <c r="K263" s="76"/>
      <c r="L263" s="75"/>
      <c r="M263" s="75"/>
      <c r="AG263" s="75"/>
      <c r="AH263" s="75"/>
      <c r="CL263" s="187">
        <f>2.102+3.125+0.557</f>
        <v>5.7840000000000007</v>
      </c>
      <c r="CU263" s="250">
        <v>96.1</v>
      </c>
      <c r="DI263" s="260">
        <v>23.581</v>
      </c>
    </row>
    <row r="264" spans="1:118" x14ac:dyDescent="0.3">
      <c r="A264" s="138" t="s">
        <v>62</v>
      </c>
      <c r="B264" s="11">
        <v>905</v>
      </c>
      <c r="C264" s="12" t="s">
        <v>123</v>
      </c>
      <c r="D264" s="6" t="s">
        <v>123</v>
      </c>
      <c r="E264" s="12" t="s">
        <v>80</v>
      </c>
      <c r="F264" s="12" t="s">
        <v>50</v>
      </c>
      <c r="G264" s="53">
        <f>G265</f>
        <v>0</v>
      </c>
      <c r="H264" s="111"/>
      <c r="I264" s="112"/>
      <c r="J264" s="111"/>
      <c r="K264" s="76"/>
      <c r="L264" s="75"/>
      <c r="M264" s="75"/>
      <c r="AG264" s="75"/>
      <c r="AH264" s="75"/>
    </row>
    <row r="265" spans="1:118" x14ac:dyDescent="0.3">
      <c r="A265" s="138" t="s">
        <v>156</v>
      </c>
      <c r="B265" s="11">
        <v>905</v>
      </c>
      <c r="C265" s="12" t="s">
        <v>123</v>
      </c>
      <c r="D265" s="6" t="s">
        <v>123</v>
      </c>
      <c r="E265" s="12" t="s">
        <v>1144</v>
      </c>
      <c r="F265" s="12" t="s">
        <v>50</v>
      </c>
      <c r="G265" s="53">
        <f>G266</f>
        <v>0</v>
      </c>
      <c r="H265" s="111"/>
      <c r="I265" s="112"/>
      <c r="J265" s="111"/>
      <c r="K265" s="76"/>
      <c r="L265" s="75"/>
      <c r="M265" s="75"/>
      <c r="AG265" s="75"/>
      <c r="AH265" s="75"/>
    </row>
    <row r="266" spans="1:118" ht="37.5" x14ac:dyDescent="0.3">
      <c r="A266" s="138" t="s">
        <v>425</v>
      </c>
      <c r="B266" s="11">
        <v>905</v>
      </c>
      <c r="C266" s="12" t="s">
        <v>123</v>
      </c>
      <c r="D266" s="6" t="s">
        <v>123</v>
      </c>
      <c r="E266" s="12" t="s">
        <v>1144</v>
      </c>
      <c r="F266" s="12" t="s">
        <v>59</v>
      </c>
      <c r="G266" s="68">
        <f>CX266+DN266</f>
        <v>0</v>
      </c>
      <c r="H266" s="111"/>
      <c r="I266" s="112"/>
      <c r="J266" s="111"/>
      <c r="K266" s="76"/>
      <c r="L266" s="75"/>
      <c r="M266" s="75"/>
      <c r="T266">
        <v>24.5</v>
      </c>
      <c r="AG266" s="75"/>
      <c r="AH266" s="75"/>
      <c r="AK266" s="75">
        <v>0</v>
      </c>
      <c r="AV266" s="187">
        <v>33</v>
      </c>
      <c r="CF266" s="187">
        <v>51.7</v>
      </c>
      <c r="CX266" s="260">
        <v>12.9</v>
      </c>
      <c r="DN266" s="260">
        <v>-12.9</v>
      </c>
    </row>
    <row r="267" spans="1:118" hidden="1" outlineLevel="1" x14ac:dyDescent="0.3">
      <c r="A267" s="138" t="s">
        <v>83</v>
      </c>
      <c r="B267" s="11">
        <v>905</v>
      </c>
      <c r="C267" s="12" t="s">
        <v>123</v>
      </c>
      <c r="D267" s="6" t="s">
        <v>123</v>
      </c>
      <c r="E267" s="12" t="s">
        <v>84</v>
      </c>
      <c r="F267" s="12" t="s">
        <v>50</v>
      </c>
      <c r="G267" s="53">
        <f>G268+G271</f>
        <v>0</v>
      </c>
      <c r="H267" s="111"/>
      <c r="I267" s="112"/>
      <c r="J267" s="111"/>
      <c r="K267" s="76"/>
      <c r="L267" s="75"/>
      <c r="M267" s="75"/>
      <c r="AG267" s="75"/>
      <c r="AH267" s="75"/>
    </row>
    <row r="268" spans="1:118" ht="75" hidden="1" outlineLevel="1" x14ac:dyDescent="0.3">
      <c r="A268" s="138" t="s">
        <v>249</v>
      </c>
      <c r="B268" s="11">
        <v>905</v>
      </c>
      <c r="C268" s="12" t="s">
        <v>123</v>
      </c>
      <c r="D268" s="6" t="s">
        <v>123</v>
      </c>
      <c r="E268" s="12" t="s">
        <v>300</v>
      </c>
      <c r="F268" s="12" t="s">
        <v>50</v>
      </c>
      <c r="G268" s="32">
        <f>G269</f>
        <v>0</v>
      </c>
      <c r="H268" s="124"/>
      <c r="I268" s="125"/>
      <c r="J268" s="124"/>
      <c r="K268" s="76"/>
      <c r="L268" s="75"/>
      <c r="M268" s="75"/>
      <c r="AG268" s="75"/>
      <c r="AH268" s="75"/>
    </row>
    <row r="269" spans="1:118" ht="38.25" hidden="1" customHeight="1" outlineLevel="1" x14ac:dyDescent="0.3">
      <c r="A269" s="138" t="s">
        <v>301</v>
      </c>
      <c r="B269" s="11">
        <v>905</v>
      </c>
      <c r="C269" s="12" t="s">
        <v>123</v>
      </c>
      <c r="D269" s="6" t="s">
        <v>123</v>
      </c>
      <c r="E269" s="12" t="s">
        <v>302</v>
      </c>
      <c r="F269" s="12" t="s">
        <v>50</v>
      </c>
      <c r="G269" s="32">
        <f>G270</f>
        <v>0</v>
      </c>
      <c r="H269" s="124"/>
      <c r="I269" s="125"/>
      <c r="J269" s="124"/>
      <c r="K269" s="76"/>
      <c r="L269" s="75"/>
      <c r="M269" s="75"/>
      <c r="AG269" s="75"/>
      <c r="AH269" s="75"/>
    </row>
    <row r="270" spans="1:118" ht="37.5" hidden="1" outlineLevel="1" x14ac:dyDescent="0.3">
      <c r="A270" s="138" t="s">
        <v>58</v>
      </c>
      <c r="B270" s="11">
        <v>905</v>
      </c>
      <c r="C270" s="12" t="s">
        <v>123</v>
      </c>
      <c r="D270" s="6" t="s">
        <v>123</v>
      </c>
      <c r="E270" s="12" t="s">
        <v>302</v>
      </c>
      <c r="F270" s="12" t="s">
        <v>59</v>
      </c>
      <c r="G270" s="33">
        <v>0</v>
      </c>
      <c r="H270" s="126"/>
      <c r="I270" s="127"/>
      <c r="J270" s="126"/>
      <c r="K270" s="76"/>
      <c r="L270" s="75"/>
      <c r="M270" s="75"/>
      <c r="AG270" s="75"/>
      <c r="AH270" s="75"/>
    </row>
    <row r="271" spans="1:118" ht="36.75" hidden="1" customHeight="1" outlineLevel="1" x14ac:dyDescent="0.3">
      <c r="A271" s="138" t="s">
        <v>301</v>
      </c>
      <c r="B271" s="11">
        <v>905</v>
      </c>
      <c r="C271" s="12" t="s">
        <v>123</v>
      </c>
      <c r="D271" s="6" t="s">
        <v>123</v>
      </c>
      <c r="E271" s="12" t="s">
        <v>303</v>
      </c>
      <c r="F271" s="12" t="s">
        <v>50</v>
      </c>
      <c r="G271" s="31">
        <f>G272</f>
        <v>0</v>
      </c>
      <c r="H271" s="128"/>
      <c r="I271" s="129"/>
      <c r="J271" s="128"/>
      <c r="K271" s="76"/>
      <c r="L271" s="75"/>
      <c r="M271" s="75"/>
      <c r="AG271" s="75"/>
      <c r="AH271" s="75"/>
    </row>
    <row r="272" spans="1:118" ht="37.5" hidden="1" outlineLevel="1" x14ac:dyDescent="0.3">
      <c r="A272" s="138" t="s">
        <v>58</v>
      </c>
      <c r="B272" s="11">
        <v>905</v>
      </c>
      <c r="C272" s="12" t="s">
        <v>123</v>
      </c>
      <c r="D272" s="6" t="s">
        <v>123</v>
      </c>
      <c r="E272" s="12" t="s">
        <v>303</v>
      </c>
      <c r="F272" s="12" t="s">
        <v>59</v>
      </c>
      <c r="G272" s="31">
        <v>0</v>
      </c>
      <c r="H272" s="128"/>
      <c r="I272" s="129"/>
      <c r="J272" s="128"/>
      <c r="K272" s="76"/>
      <c r="L272" s="75"/>
      <c r="M272" s="75"/>
      <c r="AG272" s="75"/>
      <c r="AH272" s="75"/>
    </row>
    <row r="273" spans="1:80" hidden="1" outlineLevel="1" x14ac:dyDescent="0.3">
      <c r="A273" s="138" t="s">
        <v>62</v>
      </c>
      <c r="B273" s="11"/>
      <c r="C273" s="12"/>
      <c r="D273" s="6"/>
      <c r="E273" s="12"/>
      <c r="F273" s="12"/>
      <c r="G273" s="31"/>
      <c r="H273" s="128"/>
      <c r="I273" s="129"/>
      <c r="J273" s="128"/>
      <c r="K273" s="76"/>
      <c r="L273" s="75"/>
      <c r="M273" s="75"/>
      <c r="AG273" s="75"/>
      <c r="AH273" s="75"/>
    </row>
    <row r="274" spans="1:80" hidden="1" outlineLevel="1" x14ac:dyDescent="0.3">
      <c r="A274" s="138"/>
      <c r="B274" s="11"/>
      <c r="C274" s="12"/>
      <c r="D274" s="6"/>
      <c r="E274" s="12"/>
      <c r="F274" s="12"/>
      <c r="G274" s="31"/>
      <c r="H274" s="128"/>
      <c r="I274" s="129"/>
      <c r="J274" s="128"/>
      <c r="K274" s="76"/>
      <c r="L274" s="75"/>
      <c r="M274" s="75"/>
      <c r="AG274" s="75"/>
      <c r="AH274" s="75"/>
    </row>
    <row r="275" spans="1:80" hidden="1" outlineLevel="1" x14ac:dyDescent="0.3">
      <c r="A275" s="138"/>
      <c r="B275" s="11"/>
      <c r="C275" s="12"/>
      <c r="D275" s="6"/>
      <c r="E275" s="12"/>
      <c r="F275" s="12"/>
      <c r="G275" s="31"/>
      <c r="H275" s="128"/>
      <c r="I275" s="129"/>
      <c r="J275" s="128"/>
      <c r="K275" s="76"/>
      <c r="L275" s="75"/>
      <c r="M275" s="75"/>
      <c r="AG275" s="75"/>
      <c r="AH275" s="75"/>
    </row>
    <row r="276" spans="1:80" hidden="1" outlineLevel="1" x14ac:dyDescent="0.3">
      <c r="A276" s="138"/>
      <c r="B276" s="11"/>
      <c r="C276" s="12"/>
      <c r="D276" s="6"/>
      <c r="E276" s="12"/>
      <c r="F276" s="12"/>
      <c r="G276" s="31"/>
      <c r="H276" s="128"/>
      <c r="I276" s="129"/>
      <c r="J276" s="128"/>
      <c r="K276" s="76"/>
      <c r="L276" s="75"/>
      <c r="M276" s="75"/>
      <c r="AG276" s="75"/>
      <c r="AH276" s="75"/>
    </row>
    <row r="277" spans="1:80" hidden="1" outlineLevel="1" x14ac:dyDescent="0.3">
      <c r="A277" s="138" t="s">
        <v>311</v>
      </c>
      <c r="B277" s="11">
        <v>905</v>
      </c>
      <c r="C277" s="12" t="s">
        <v>123</v>
      </c>
      <c r="D277" s="6" t="s">
        <v>123</v>
      </c>
      <c r="E277" s="12" t="s">
        <v>530</v>
      </c>
      <c r="F277" s="12" t="s">
        <v>50</v>
      </c>
      <c r="G277" s="31">
        <f>G278</f>
        <v>0</v>
      </c>
      <c r="H277" s="128"/>
      <c r="I277" s="129"/>
      <c r="J277" s="128"/>
      <c r="K277" s="76"/>
      <c r="L277" s="75"/>
      <c r="M277" s="75"/>
      <c r="AG277" s="75"/>
      <c r="AH277" s="75"/>
    </row>
    <row r="278" spans="1:80" ht="37.5" hidden="1" outlineLevel="1" x14ac:dyDescent="0.3">
      <c r="A278" s="138" t="s">
        <v>425</v>
      </c>
      <c r="B278" s="11">
        <v>905</v>
      </c>
      <c r="C278" s="12" t="s">
        <v>123</v>
      </c>
      <c r="D278" s="6" t="s">
        <v>123</v>
      </c>
      <c r="E278" s="12" t="s">
        <v>530</v>
      </c>
      <c r="F278" s="12" t="s">
        <v>59</v>
      </c>
      <c r="G278" s="31"/>
      <c r="H278" s="128"/>
      <c r="I278" s="129"/>
      <c r="J278" s="128"/>
      <c r="K278" s="76"/>
      <c r="L278" s="75"/>
      <c r="M278" s="75"/>
      <c r="AG278" s="75"/>
      <c r="AH278" s="75"/>
    </row>
    <row r="279" spans="1:80" ht="29.25" hidden="1" customHeight="1" outlineLevel="1" x14ac:dyDescent="0.3">
      <c r="A279" s="158" t="s">
        <v>64</v>
      </c>
      <c r="B279" s="11">
        <v>905</v>
      </c>
      <c r="C279" s="12" t="s">
        <v>123</v>
      </c>
      <c r="D279" s="6" t="s">
        <v>123</v>
      </c>
      <c r="E279" s="12" t="s">
        <v>777</v>
      </c>
      <c r="F279" s="12" t="s">
        <v>50</v>
      </c>
      <c r="G279" s="31">
        <f>G280</f>
        <v>0</v>
      </c>
      <c r="H279" s="128"/>
      <c r="I279" s="129"/>
      <c r="J279" s="128"/>
      <c r="K279" s="76"/>
      <c r="L279" s="75"/>
      <c r="M279" s="75"/>
      <c r="AG279" s="75"/>
      <c r="AH279" s="75"/>
    </row>
    <row r="280" spans="1:80" ht="37.5" hidden="1" outlineLevel="1" x14ac:dyDescent="0.3">
      <c r="A280" s="138" t="s">
        <v>425</v>
      </c>
      <c r="B280" s="11">
        <v>905</v>
      </c>
      <c r="C280" s="12" t="s">
        <v>123</v>
      </c>
      <c r="D280" s="6" t="s">
        <v>123</v>
      </c>
      <c r="E280" s="12" t="s">
        <v>777</v>
      </c>
      <c r="F280" s="12" t="s">
        <v>59</v>
      </c>
      <c r="G280" s="31">
        <v>0</v>
      </c>
      <c r="H280" s="128"/>
      <c r="I280" s="129"/>
      <c r="J280" s="128"/>
      <c r="K280" s="76"/>
      <c r="L280" s="75"/>
      <c r="M280" s="75"/>
      <c r="AG280" s="75"/>
      <c r="AH280" s="75"/>
      <c r="BB280" s="187">
        <v>1100</v>
      </c>
    </row>
    <row r="281" spans="1:80" hidden="1" outlineLevel="1" x14ac:dyDescent="0.3">
      <c r="A281" s="138" t="s">
        <v>60</v>
      </c>
      <c r="B281" s="11">
        <v>905</v>
      </c>
      <c r="C281" s="12" t="s">
        <v>123</v>
      </c>
      <c r="D281" s="6" t="s">
        <v>123</v>
      </c>
      <c r="E281" s="12" t="s">
        <v>163</v>
      </c>
      <c r="F281" s="12" t="s">
        <v>61</v>
      </c>
      <c r="G281" s="31">
        <v>0</v>
      </c>
      <c r="H281" s="128"/>
      <c r="I281" s="129"/>
      <c r="J281" s="128"/>
      <c r="K281" s="76"/>
      <c r="L281" s="75"/>
      <c r="M281" s="75"/>
      <c r="AG281" s="75"/>
      <c r="AH281" s="75"/>
      <c r="BU281" s="146">
        <v>76.379000000000005</v>
      </c>
    </row>
    <row r="282" spans="1:80" ht="37.5" hidden="1" outlineLevel="1" x14ac:dyDescent="0.3">
      <c r="A282" s="138" t="s">
        <v>64</v>
      </c>
      <c r="B282" s="11">
        <v>905</v>
      </c>
      <c r="C282" s="12" t="s">
        <v>123</v>
      </c>
      <c r="D282" s="6" t="s">
        <v>123</v>
      </c>
      <c r="E282" s="12" t="s">
        <v>777</v>
      </c>
      <c r="F282" s="12" t="s">
        <v>50</v>
      </c>
      <c r="G282" s="31">
        <f>G283</f>
        <v>0</v>
      </c>
      <c r="H282" s="128"/>
      <c r="I282" s="129"/>
      <c r="J282" s="128"/>
      <c r="K282" s="76"/>
      <c r="L282" s="75"/>
      <c r="M282" s="75"/>
      <c r="AG282" s="75"/>
      <c r="AH282" s="75"/>
    </row>
    <row r="283" spans="1:80" ht="37.5" hidden="1" outlineLevel="1" x14ac:dyDescent="0.3">
      <c r="A283" s="138" t="s">
        <v>425</v>
      </c>
      <c r="B283" s="11">
        <v>905</v>
      </c>
      <c r="C283" s="12" t="s">
        <v>123</v>
      </c>
      <c r="D283" s="6" t="s">
        <v>123</v>
      </c>
      <c r="E283" s="12" t="s">
        <v>777</v>
      </c>
      <c r="F283" s="12" t="s">
        <v>59</v>
      </c>
      <c r="G283" s="31">
        <v>0</v>
      </c>
      <c r="H283" s="128"/>
      <c r="I283" s="129"/>
      <c r="J283" s="128"/>
      <c r="K283" s="76"/>
      <c r="L283" s="75"/>
      <c r="M283" s="75"/>
      <c r="AG283" s="75"/>
      <c r="AH283" s="75"/>
      <c r="CB283" s="218">
        <v>0.13794999999999999</v>
      </c>
    </row>
    <row r="284" spans="1:80" collapsed="1" x14ac:dyDescent="0.3">
      <c r="A284" s="150" t="s">
        <v>127</v>
      </c>
      <c r="B284" s="10">
        <v>905</v>
      </c>
      <c r="C284" s="7" t="s">
        <v>123</v>
      </c>
      <c r="D284" s="17" t="s">
        <v>128</v>
      </c>
      <c r="E284" s="10" t="s">
        <v>49</v>
      </c>
      <c r="F284" s="7" t="s">
        <v>50</v>
      </c>
      <c r="G284" s="64">
        <f>G285+G306</f>
        <v>18521.49698</v>
      </c>
      <c r="H284" s="111"/>
      <c r="I284" s="112"/>
      <c r="J284" s="111"/>
      <c r="K284" s="76"/>
      <c r="L284" s="75"/>
      <c r="M284" s="75"/>
      <c r="AG284" s="75"/>
      <c r="AH284" s="75"/>
    </row>
    <row r="285" spans="1:80" ht="45" customHeight="1" x14ac:dyDescent="0.3">
      <c r="A285" s="138" t="s">
        <v>38</v>
      </c>
      <c r="B285" s="11">
        <v>905</v>
      </c>
      <c r="C285" s="12" t="s">
        <v>123</v>
      </c>
      <c r="D285" s="6" t="s">
        <v>128</v>
      </c>
      <c r="E285" s="13" t="s">
        <v>400</v>
      </c>
      <c r="F285" s="12" t="s">
        <v>50</v>
      </c>
      <c r="G285" s="53">
        <f>G286+G296</f>
        <v>18454.796979999999</v>
      </c>
      <c r="H285" s="111"/>
      <c r="I285" s="112"/>
      <c r="J285" s="111"/>
      <c r="K285" s="76"/>
      <c r="L285" s="75"/>
      <c r="M285" s="75"/>
      <c r="AG285" s="75"/>
      <c r="AH285" s="75"/>
    </row>
    <row r="286" spans="1:80" ht="56.25" x14ac:dyDescent="0.3">
      <c r="A286" s="138" t="s">
        <v>138</v>
      </c>
      <c r="B286" s="11">
        <v>905</v>
      </c>
      <c r="C286" s="12" t="s">
        <v>123</v>
      </c>
      <c r="D286" s="6" t="s">
        <v>128</v>
      </c>
      <c r="E286" s="13" t="s">
        <v>51</v>
      </c>
      <c r="F286" s="12" t="s">
        <v>50</v>
      </c>
      <c r="G286" s="53">
        <f>G287</f>
        <v>15182.600999999999</v>
      </c>
      <c r="H286" s="111"/>
      <c r="I286" s="112"/>
      <c r="J286" s="111"/>
      <c r="K286" s="76"/>
      <c r="L286" s="75"/>
      <c r="M286" s="75"/>
      <c r="AG286" s="75"/>
      <c r="AH286" s="75"/>
    </row>
    <row r="287" spans="1:80" ht="37.5" x14ac:dyDescent="0.3">
      <c r="A287" s="138" t="s">
        <v>52</v>
      </c>
      <c r="B287" s="11">
        <v>905</v>
      </c>
      <c r="C287" s="12" t="s">
        <v>123</v>
      </c>
      <c r="D287" s="6" t="s">
        <v>128</v>
      </c>
      <c r="E287" s="13" t="s">
        <v>53</v>
      </c>
      <c r="F287" s="12" t="s">
        <v>50</v>
      </c>
      <c r="G287" s="53">
        <f>G288+G294+G292</f>
        <v>15182.600999999999</v>
      </c>
      <c r="H287" s="111"/>
      <c r="I287" s="112"/>
      <c r="J287" s="111"/>
      <c r="K287" s="76"/>
      <c r="L287" s="75"/>
      <c r="M287" s="75"/>
      <c r="AG287" s="75"/>
      <c r="AH287" s="75"/>
    </row>
    <row r="288" spans="1:80" x14ac:dyDescent="0.3">
      <c r="A288" s="138" t="s">
        <v>82</v>
      </c>
      <c r="B288" s="11">
        <v>905</v>
      </c>
      <c r="C288" s="12" t="s">
        <v>123</v>
      </c>
      <c r="D288" s="6" t="s">
        <v>128</v>
      </c>
      <c r="E288" s="12" t="s">
        <v>43</v>
      </c>
      <c r="F288" s="12" t="s">
        <v>50</v>
      </c>
      <c r="G288" s="53">
        <f>G289+G290+G291</f>
        <v>7166.4009999999998</v>
      </c>
      <c r="H288" s="111"/>
      <c r="I288" s="112"/>
      <c r="J288" s="111"/>
      <c r="K288" s="76"/>
      <c r="L288" s="75"/>
      <c r="M288" s="75"/>
      <c r="AG288" s="75"/>
      <c r="AH288" s="75"/>
    </row>
    <row r="289" spans="1:118" ht="93.75" x14ac:dyDescent="0.3">
      <c r="A289" s="138" t="s">
        <v>56</v>
      </c>
      <c r="B289" s="11">
        <v>905</v>
      </c>
      <c r="C289" s="12" t="s">
        <v>123</v>
      </c>
      <c r="D289" s="6" t="s">
        <v>128</v>
      </c>
      <c r="E289" s="12" t="s">
        <v>43</v>
      </c>
      <c r="F289" s="12" t="s">
        <v>57</v>
      </c>
      <c r="G289" s="53">
        <f>CS289+CZ289+DF289+DN289</f>
        <v>6279.90265</v>
      </c>
      <c r="H289" s="120">
        <v>10544.2</v>
      </c>
      <c r="I289" s="121"/>
      <c r="J289" s="120"/>
      <c r="K289" s="76"/>
      <c r="L289" s="75"/>
      <c r="M289" s="75"/>
      <c r="AG289" s="75"/>
      <c r="AH289" s="75">
        <v>-0.85419</v>
      </c>
      <c r="AK289" s="75">
        <v>8875.2999999999993</v>
      </c>
      <c r="BL289" s="187">
        <v>0.19500000000000001</v>
      </c>
      <c r="BM289" s="95">
        <v>10859.4</v>
      </c>
      <c r="CP289" s="251">
        <v>3538.7</v>
      </c>
      <c r="CS289" s="255">
        <f>47.9+13503.4</f>
        <v>13551.3</v>
      </c>
      <c r="CZ289" s="187">
        <v>-8000</v>
      </c>
      <c r="DF289" s="187">
        <v>-2.49735</v>
      </c>
      <c r="DN289" s="260">
        <v>731.1</v>
      </c>
    </row>
    <row r="290" spans="1:118" ht="37.5" x14ac:dyDescent="0.3">
      <c r="A290" s="138" t="s">
        <v>425</v>
      </c>
      <c r="B290" s="11">
        <v>905</v>
      </c>
      <c r="C290" s="12" t="s">
        <v>123</v>
      </c>
      <c r="D290" s="6" t="s">
        <v>128</v>
      </c>
      <c r="E290" s="12" t="s">
        <v>43</v>
      </c>
      <c r="F290" s="12" t="s">
        <v>59</v>
      </c>
      <c r="G290" s="53">
        <f>CS290+CU290+CY290+DL290</f>
        <v>884.00099999999998</v>
      </c>
      <c r="H290" s="120">
        <v>934.4</v>
      </c>
      <c r="I290" s="121"/>
      <c r="J290" s="120"/>
      <c r="K290" s="76"/>
      <c r="L290" s="75"/>
      <c r="M290" s="75"/>
      <c r="N290">
        <v>35</v>
      </c>
      <c r="T290">
        <f>25+6.9+44</f>
        <v>75.900000000000006</v>
      </c>
      <c r="AC290">
        <v>45</v>
      </c>
      <c r="AE290">
        <v>79</v>
      </c>
      <c r="AG290" s="75"/>
      <c r="AH290" s="75">
        <v>30</v>
      </c>
      <c r="AK290" s="75">
        <v>518.6</v>
      </c>
      <c r="AN290" s="145">
        <v>-36</v>
      </c>
      <c r="AS290" s="187">
        <v>8.4</v>
      </c>
      <c r="AZ290" s="218">
        <v>39.5</v>
      </c>
      <c r="BD290" s="218">
        <v>101.4</v>
      </c>
      <c r="BL290" s="187">
        <v>-0.19500000000000001</v>
      </c>
      <c r="BM290" s="95">
        <v>589.5</v>
      </c>
      <c r="BX290" s="146">
        <v>-16</v>
      </c>
      <c r="CP290" s="251">
        <v>94</v>
      </c>
      <c r="CS290" s="255">
        <f>702.4</f>
        <v>702.4</v>
      </c>
      <c r="CU290" s="250">
        <v>128.4</v>
      </c>
      <c r="CY290" s="187">
        <v>-14.298999999999999</v>
      </c>
      <c r="DL290" s="260">
        <v>67.5</v>
      </c>
    </row>
    <row r="291" spans="1:118" ht="28.5" customHeight="1" x14ac:dyDescent="0.3">
      <c r="A291" s="138" t="s">
        <v>175</v>
      </c>
      <c r="B291" s="11">
        <v>905</v>
      </c>
      <c r="C291" s="12" t="s">
        <v>123</v>
      </c>
      <c r="D291" s="6" t="s">
        <v>128</v>
      </c>
      <c r="E291" s="12" t="s">
        <v>43</v>
      </c>
      <c r="F291" s="12" t="s">
        <v>176</v>
      </c>
      <c r="G291" s="53">
        <f>DF291</f>
        <v>2.49735</v>
      </c>
      <c r="H291" s="111"/>
      <c r="I291" s="112"/>
      <c r="J291" s="111"/>
      <c r="K291" s="76"/>
      <c r="L291" s="75"/>
      <c r="M291" s="75"/>
      <c r="AG291" s="75"/>
      <c r="AH291" s="75">
        <v>0.85419</v>
      </c>
      <c r="AK291" s="75">
        <v>0</v>
      </c>
      <c r="DF291" s="187">
        <v>2.49735</v>
      </c>
    </row>
    <row r="292" spans="1:118" ht="41.25" customHeight="1" x14ac:dyDescent="0.3">
      <c r="A292" s="157" t="s">
        <v>374</v>
      </c>
      <c r="B292" s="11">
        <v>905</v>
      </c>
      <c r="C292" s="12" t="s">
        <v>123</v>
      </c>
      <c r="D292" s="6" t="s">
        <v>128</v>
      </c>
      <c r="E292" s="12" t="s">
        <v>508</v>
      </c>
      <c r="F292" s="12" t="s">
        <v>50</v>
      </c>
      <c r="G292" s="68">
        <f>G293</f>
        <v>8016.2</v>
      </c>
      <c r="H292" s="111"/>
      <c r="I292" s="112"/>
      <c r="J292" s="111"/>
      <c r="K292" s="76"/>
      <c r="L292" s="75"/>
      <c r="M292" s="75"/>
      <c r="AG292" s="75"/>
      <c r="AH292" s="75"/>
    </row>
    <row r="293" spans="1:118" ht="98.25" customHeight="1" x14ac:dyDescent="0.3">
      <c r="A293" s="138" t="s">
        <v>56</v>
      </c>
      <c r="B293" s="11">
        <v>905</v>
      </c>
      <c r="C293" s="12" t="s">
        <v>123</v>
      </c>
      <c r="D293" s="6" t="s">
        <v>128</v>
      </c>
      <c r="E293" s="12" t="s">
        <v>508</v>
      </c>
      <c r="F293" s="12" t="s">
        <v>57</v>
      </c>
      <c r="G293" s="68">
        <f>CY293+DI293</f>
        <v>8016.2</v>
      </c>
      <c r="H293" s="111"/>
      <c r="I293" s="112"/>
      <c r="J293" s="111"/>
      <c r="K293" s="76"/>
      <c r="L293" s="75"/>
      <c r="M293" s="75"/>
      <c r="AG293" s="75">
        <v>1046.5</v>
      </c>
      <c r="AH293" s="75"/>
      <c r="AK293" s="75">
        <v>0</v>
      </c>
      <c r="AP293" s="146">
        <v>809.1</v>
      </c>
      <c r="BK293" s="218">
        <v>323</v>
      </c>
      <c r="CY293" s="187">
        <v>8000</v>
      </c>
      <c r="DI293" s="260">
        <v>16.2</v>
      </c>
    </row>
    <row r="294" spans="1:118" ht="37.5" hidden="1" customHeight="1" x14ac:dyDescent="0.3">
      <c r="A294" s="157" t="s">
        <v>378</v>
      </c>
      <c r="B294" s="11">
        <v>905</v>
      </c>
      <c r="C294" s="12" t="s">
        <v>123</v>
      </c>
      <c r="D294" s="6" t="s">
        <v>116</v>
      </c>
      <c r="E294" s="12" t="s">
        <v>505</v>
      </c>
      <c r="F294" s="12" t="s">
        <v>50</v>
      </c>
      <c r="G294" s="53">
        <v>0</v>
      </c>
      <c r="H294" s="111"/>
      <c r="I294" s="112"/>
      <c r="J294" s="111"/>
      <c r="K294" s="76"/>
      <c r="L294" s="75"/>
      <c r="M294" s="75"/>
      <c r="AG294" s="75"/>
      <c r="AH294" s="75"/>
    </row>
    <row r="295" spans="1:118" ht="99.75" hidden="1" customHeight="1" x14ac:dyDescent="0.3">
      <c r="A295" s="138" t="s">
        <v>56</v>
      </c>
      <c r="B295" s="11">
        <v>905</v>
      </c>
      <c r="C295" s="12" t="s">
        <v>123</v>
      </c>
      <c r="D295" s="6" t="s">
        <v>116</v>
      </c>
      <c r="E295" s="12" t="s">
        <v>505</v>
      </c>
      <c r="F295" s="12" t="s">
        <v>57</v>
      </c>
      <c r="G295" s="53">
        <v>0</v>
      </c>
      <c r="H295" s="111"/>
      <c r="I295" s="112"/>
      <c r="J295" s="111"/>
      <c r="K295" s="76"/>
      <c r="L295" s="75"/>
      <c r="M295" s="75"/>
      <c r="AG295" s="75"/>
      <c r="AH295" s="75"/>
    </row>
    <row r="296" spans="1:118" ht="37.5" x14ac:dyDescent="0.3">
      <c r="A296" s="157" t="s">
        <v>139</v>
      </c>
      <c r="B296" s="11">
        <v>905</v>
      </c>
      <c r="C296" s="12" t="s">
        <v>123</v>
      </c>
      <c r="D296" s="6" t="s">
        <v>128</v>
      </c>
      <c r="E296" s="13" t="s">
        <v>72</v>
      </c>
      <c r="F296" s="13" t="s">
        <v>50</v>
      </c>
      <c r="G296" s="53">
        <f>G297+G303</f>
        <v>3272.1959800000004</v>
      </c>
      <c r="H296" s="111"/>
      <c r="I296" s="112"/>
      <c r="J296" s="111"/>
      <c r="K296" s="76"/>
      <c r="L296" s="75"/>
      <c r="M296" s="75"/>
      <c r="AG296" s="75"/>
      <c r="AH296" s="75"/>
    </row>
    <row r="297" spans="1:118" ht="37.5" x14ac:dyDescent="0.3">
      <c r="A297" s="138" t="s">
        <v>52</v>
      </c>
      <c r="B297" s="11">
        <v>905</v>
      </c>
      <c r="C297" s="12" t="s">
        <v>123</v>
      </c>
      <c r="D297" s="6" t="s">
        <v>128</v>
      </c>
      <c r="E297" s="13" t="s">
        <v>150</v>
      </c>
      <c r="F297" s="13" t="s">
        <v>50</v>
      </c>
      <c r="G297" s="53">
        <f>G298+G301</f>
        <v>3211.9259800000004</v>
      </c>
      <c r="H297" s="111"/>
      <c r="I297" s="112"/>
      <c r="J297" s="111"/>
      <c r="K297" s="76"/>
      <c r="L297" s="75"/>
      <c r="M297" s="75"/>
      <c r="AG297" s="75"/>
      <c r="AH297" s="75"/>
    </row>
    <row r="298" spans="1:118" x14ac:dyDescent="0.3">
      <c r="A298" s="138" t="s">
        <v>78</v>
      </c>
      <c r="B298" s="11">
        <v>905</v>
      </c>
      <c r="C298" s="12" t="s">
        <v>123</v>
      </c>
      <c r="D298" s="6" t="s">
        <v>128</v>
      </c>
      <c r="E298" s="13" t="s">
        <v>151</v>
      </c>
      <c r="F298" s="13" t="s">
        <v>50</v>
      </c>
      <c r="G298" s="53">
        <f>G299+G300</f>
        <v>3211.9259800000004</v>
      </c>
      <c r="H298" s="111"/>
      <c r="I298" s="112"/>
      <c r="J298" s="111"/>
      <c r="K298" s="76"/>
      <c r="L298" s="75"/>
      <c r="M298" s="75"/>
      <c r="AG298" s="75"/>
      <c r="AH298" s="75"/>
    </row>
    <row r="299" spans="1:118" ht="93.75" x14ac:dyDescent="0.3">
      <c r="A299" s="138" t="s">
        <v>56</v>
      </c>
      <c r="B299" s="11">
        <v>905</v>
      </c>
      <c r="C299" s="12" t="s">
        <v>123</v>
      </c>
      <c r="D299" s="6" t="s">
        <v>128</v>
      </c>
      <c r="E299" s="13" t="s">
        <v>151</v>
      </c>
      <c r="F299" s="13" t="s">
        <v>57</v>
      </c>
      <c r="G299" s="53">
        <f>CS299+CU299+DK299</f>
        <v>3132.5260200000002</v>
      </c>
      <c r="H299" s="120">
        <v>2534.6</v>
      </c>
      <c r="I299" s="121"/>
      <c r="J299" s="120"/>
      <c r="K299" s="76"/>
      <c r="L299" s="75"/>
      <c r="M299" s="75"/>
      <c r="AG299" s="75"/>
      <c r="AH299" s="75"/>
      <c r="AK299" s="75">
        <v>1769.8</v>
      </c>
      <c r="BK299" s="218">
        <v>-90</v>
      </c>
      <c r="BM299" s="95">
        <v>2532.6999999999998</v>
      </c>
      <c r="CP299" s="251">
        <v>377.4</v>
      </c>
      <c r="CS299" s="255">
        <v>3109.3</v>
      </c>
      <c r="CU299" s="250">
        <v>28</v>
      </c>
      <c r="DK299" s="260">
        <v>-4.7739799999999999</v>
      </c>
    </row>
    <row r="300" spans="1:118" ht="37.5" x14ac:dyDescent="0.3">
      <c r="A300" s="138" t="s">
        <v>425</v>
      </c>
      <c r="B300" s="11">
        <v>905</v>
      </c>
      <c r="C300" s="12" t="s">
        <v>123</v>
      </c>
      <c r="D300" s="6" t="s">
        <v>128</v>
      </c>
      <c r="E300" s="13" t="s">
        <v>151</v>
      </c>
      <c r="F300" s="13" t="s">
        <v>59</v>
      </c>
      <c r="G300" s="53">
        <f>CS300+CU300+DK300+DN300</f>
        <v>79.399959999999993</v>
      </c>
      <c r="H300" s="120">
        <v>59.9</v>
      </c>
      <c r="I300" s="121"/>
      <c r="J300" s="120"/>
      <c r="K300" s="76"/>
      <c r="L300" s="75"/>
      <c r="M300" s="75"/>
      <c r="AC300">
        <v>5</v>
      </c>
      <c r="AG300" s="75"/>
      <c r="AH300" s="75"/>
      <c r="AK300" s="75">
        <v>65.900000000000006</v>
      </c>
      <c r="AV300" s="187">
        <v>14</v>
      </c>
      <c r="BM300" s="95">
        <v>72.8</v>
      </c>
      <c r="BX300" s="146">
        <v>79.5</v>
      </c>
      <c r="CP300" s="251">
        <f>-1.7-6.1</f>
        <v>-7.8</v>
      </c>
      <c r="CS300" s="255">
        <f>23.8+51.4</f>
        <v>75.2</v>
      </c>
      <c r="CU300" s="250">
        <v>1.7</v>
      </c>
      <c r="DK300" s="260">
        <v>4.7739799999999999</v>
      </c>
      <c r="DN300" s="260">
        <v>-2.2740200000000002</v>
      </c>
    </row>
    <row r="301" spans="1:118" ht="37.5" hidden="1" x14ac:dyDescent="0.3">
      <c r="A301" s="157" t="s">
        <v>374</v>
      </c>
      <c r="B301" s="11">
        <v>905</v>
      </c>
      <c r="C301" s="12" t="s">
        <v>123</v>
      </c>
      <c r="D301" s="6" t="s">
        <v>128</v>
      </c>
      <c r="E301" s="13" t="s">
        <v>509</v>
      </c>
      <c r="F301" s="13" t="s">
        <v>50</v>
      </c>
      <c r="G301" s="53">
        <f>G302</f>
        <v>0</v>
      </c>
      <c r="H301" s="111"/>
      <c r="I301" s="112"/>
      <c r="J301" s="111"/>
      <c r="K301" s="76"/>
      <c r="L301" s="75"/>
      <c r="M301" s="75"/>
      <c r="AG301" s="75"/>
      <c r="AH301" s="75"/>
    </row>
    <row r="302" spans="1:118" ht="93.75" hidden="1" x14ac:dyDescent="0.3">
      <c r="A302" s="138" t="s">
        <v>56</v>
      </c>
      <c r="B302" s="11">
        <v>905</v>
      </c>
      <c r="C302" s="12" t="s">
        <v>123</v>
      </c>
      <c r="D302" s="6" t="s">
        <v>128</v>
      </c>
      <c r="E302" s="13" t="s">
        <v>509</v>
      </c>
      <c r="F302" s="13" t="s">
        <v>57</v>
      </c>
      <c r="G302" s="53">
        <v>0</v>
      </c>
      <c r="H302" s="111"/>
      <c r="I302" s="112"/>
      <c r="J302" s="111"/>
      <c r="K302" s="76"/>
      <c r="L302" s="75"/>
      <c r="M302" s="75"/>
      <c r="AG302" s="75">
        <v>36.799999999999997</v>
      </c>
      <c r="AH302" s="75"/>
      <c r="AK302" s="75">
        <v>0</v>
      </c>
      <c r="AP302" s="146">
        <v>302.89999999999998</v>
      </c>
    </row>
    <row r="303" spans="1:118" x14ac:dyDescent="0.3">
      <c r="A303" s="138" t="s">
        <v>62</v>
      </c>
      <c r="B303" s="11">
        <v>905</v>
      </c>
      <c r="C303" s="12" t="s">
        <v>123</v>
      </c>
      <c r="D303" s="6" t="s">
        <v>128</v>
      </c>
      <c r="E303" s="12" t="s">
        <v>154</v>
      </c>
      <c r="F303" s="12" t="s">
        <v>50</v>
      </c>
      <c r="G303" s="53">
        <f>G304</f>
        <v>60.269999999999996</v>
      </c>
      <c r="H303" s="111"/>
      <c r="I303" s="112"/>
      <c r="J303" s="111"/>
      <c r="K303" s="76"/>
      <c r="L303" s="75"/>
      <c r="M303" s="75"/>
      <c r="AG303" s="75"/>
      <c r="AH303" s="75"/>
    </row>
    <row r="304" spans="1:118" x14ac:dyDescent="0.3">
      <c r="A304" s="138" t="s">
        <v>153</v>
      </c>
      <c r="B304" s="11">
        <v>905</v>
      </c>
      <c r="C304" s="6" t="s">
        <v>123</v>
      </c>
      <c r="D304" s="6" t="s">
        <v>128</v>
      </c>
      <c r="E304" s="12" t="s">
        <v>155</v>
      </c>
      <c r="F304" s="12" t="s">
        <v>50</v>
      </c>
      <c r="G304" s="53">
        <f>G305</f>
        <v>60.269999999999996</v>
      </c>
      <c r="H304" s="111"/>
      <c r="I304" s="112"/>
      <c r="J304" s="111"/>
      <c r="K304" s="76"/>
      <c r="L304" s="75"/>
      <c r="M304" s="75"/>
      <c r="AG304" s="75"/>
      <c r="AH304" s="75"/>
    </row>
    <row r="305" spans="1:118" ht="37.5" x14ac:dyDescent="0.3">
      <c r="A305" s="138" t="s">
        <v>425</v>
      </c>
      <c r="B305" s="11">
        <v>905</v>
      </c>
      <c r="C305" s="6" t="s">
        <v>123</v>
      </c>
      <c r="D305" s="6" t="s">
        <v>128</v>
      </c>
      <c r="E305" s="12" t="s">
        <v>155</v>
      </c>
      <c r="F305" s="12" t="s">
        <v>59</v>
      </c>
      <c r="G305" s="68">
        <f>CX305+DF305+DJ305+DN305</f>
        <v>60.269999999999996</v>
      </c>
      <c r="H305" s="111"/>
      <c r="I305" s="112"/>
      <c r="J305" s="111"/>
      <c r="K305" s="76"/>
      <c r="L305" s="75"/>
      <c r="M305" s="75"/>
      <c r="W305">
        <v>1</v>
      </c>
      <c r="AG305" s="75"/>
      <c r="AH305" s="75"/>
      <c r="AS305" s="187">
        <v>1.5</v>
      </c>
      <c r="AV305" s="187">
        <v>2</v>
      </c>
      <c r="BD305" s="218">
        <v>9.5</v>
      </c>
      <c r="BH305" s="225">
        <v>22</v>
      </c>
      <c r="BJ305" s="187">
        <v>1</v>
      </c>
      <c r="BX305" s="146">
        <v>12.5</v>
      </c>
      <c r="CJ305" s="187">
        <v>16</v>
      </c>
      <c r="CP305" s="251">
        <v>36</v>
      </c>
      <c r="CX305" s="260">
        <v>15.5</v>
      </c>
      <c r="DF305" s="187">
        <v>20.399999999999999</v>
      </c>
      <c r="DJ305" s="187">
        <v>5.0999999999999996</v>
      </c>
      <c r="DN305" s="260">
        <v>19.27</v>
      </c>
    </row>
    <row r="306" spans="1:118" ht="56.25" x14ac:dyDescent="0.3">
      <c r="A306" s="151" t="s">
        <v>0</v>
      </c>
      <c r="B306" s="11">
        <v>905</v>
      </c>
      <c r="C306" s="6" t="s">
        <v>123</v>
      </c>
      <c r="D306" s="6" t="s">
        <v>128</v>
      </c>
      <c r="E306" s="13" t="s">
        <v>92</v>
      </c>
      <c r="F306" s="12" t="s">
        <v>50</v>
      </c>
      <c r="G306" s="53">
        <f>G309</f>
        <v>66.7</v>
      </c>
      <c r="H306" s="111"/>
      <c r="I306" s="112"/>
      <c r="J306" s="111"/>
      <c r="K306" s="76"/>
      <c r="L306" s="75"/>
      <c r="M306" s="75"/>
      <c r="AG306" s="75"/>
      <c r="AH306" s="75"/>
    </row>
    <row r="307" spans="1:118" ht="75" hidden="1" x14ac:dyDescent="0.3">
      <c r="A307" s="151" t="s">
        <v>2</v>
      </c>
      <c r="B307" s="11">
        <v>905</v>
      </c>
      <c r="C307" s="6" t="s">
        <v>123</v>
      </c>
      <c r="D307" s="6" t="s">
        <v>128</v>
      </c>
      <c r="E307" s="13" t="s">
        <v>26</v>
      </c>
      <c r="F307" s="12" t="s">
        <v>50</v>
      </c>
      <c r="G307" s="53">
        <f>G308</f>
        <v>66.7</v>
      </c>
      <c r="H307" s="111"/>
      <c r="I307" s="112"/>
      <c r="J307" s="111"/>
      <c r="K307" s="76"/>
      <c r="L307" s="75"/>
      <c r="M307" s="75"/>
      <c r="AG307" s="75"/>
      <c r="AH307" s="75"/>
    </row>
    <row r="308" spans="1:118" ht="75" hidden="1" x14ac:dyDescent="0.3">
      <c r="A308" s="138" t="s">
        <v>173</v>
      </c>
      <c r="B308" s="11">
        <v>905</v>
      </c>
      <c r="C308" s="6" t="s">
        <v>123</v>
      </c>
      <c r="D308" s="6" t="s">
        <v>128</v>
      </c>
      <c r="E308" s="12" t="s">
        <v>178</v>
      </c>
      <c r="F308" s="12" t="s">
        <v>50</v>
      </c>
      <c r="G308" s="53">
        <f>G309</f>
        <v>66.7</v>
      </c>
      <c r="H308" s="111"/>
      <c r="I308" s="112"/>
      <c r="J308" s="111"/>
      <c r="K308" s="76"/>
      <c r="L308" s="75"/>
      <c r="M308" s="75"/>
      <c r="AG308" s="75"/>
      <c r="AH308" s="75"/>
    </row>
    <row r="309" spans="1:118" ht="93.75" x14ac:dyDescent="0.3">
      <c r="A309" s="138" t="s">
        <v>179</v>
      </c>
      <c r="B309" s="11">
        <v>905</v>
      </c>
      <c r="C309" s="6" t="s">
        <v>123</v>
      </c>
      <c r="D309" s="6" t="s">
        <v>128</v>
      </c>
      <c r="E309" s="12" t="s">
        <v>850</v>
      </c>
      <c r="F309" s="12" t="s">
        <v>50</v>
      </c>
      <c r="G309" s="53">
        <f>G310+G311</f>
        <v>66.7</v>
      </c>
      <c r="H309" s="111"/>
      <c r="I309" s="112"/>
      <c r="J309" s="111"/>
      <c r="K309" s="76"/>
      <c r="L309" s="75"/>
      <c r="M309" s="75"/>
      <c r="AG309" s="75"/>
      <c r="AH309" s="75"/>
    </row>
    <row r="310" spans="1:118" ht="93.75" x14ac:dyDescent="0.3">
      <c r="A310" s="138" t="s">
        <v>56</v>
      </c>
      <c r="B310" s="11">
        <v>905</v>
      </c>
      <c r="C310" s="6" t="s">
        <v>123</v>
      </c>
      <c r="D310" s="6" t="s">
        <v>128</v>
      </c>
      <c r="E310" s="12" t="s">
        <v>850</v>
      </c>
      <c r="F310" s="12" t="s">
        <v>57</v>
      </c>
      <c r="G310" s="53">
        <f>CQ310</f>
        <v>66.7</v>
      </c>
      <c r="H310" s="120"/>
      <c r="I310" s="121">
        <v>76</v>
      </c>
      <c r="J310" s="120"/>
      <c r="K310" s="76"/>
      <c r="L310" s="75"/>
      <c r="M310" s="75"/>
      <c r="AG310" s="75"/>
      <c r="AH310" s="75"/>
      <c r="AK310" s="75">
        <v>85.4</v>
      </c>
      <c r="BU310" s="146">
        <v>79.7</v>
      </c>
      <c r="CQ310" s="94">
        <v>66.7</v>
      </c>
    </row>
    <row r="311" spans="1:118" ht="37.5" hidden="1" x14ac:dyDescent="0.3">
      <c r="A311" s="138" t="s">
        <v>425</v>
      </c>
      <c r="B311" s="11">
        <v>905</v>
      </c>
      <c r="C311" s="6" t="s">
        <v>123</v>
      </c>
      <c r="D311" s="6" t="s">
        <v>128</v>
      </c>
      <c r="E311" s="12" t="s">
        <v>850</v>
      </c>
      <c r="F311" s="12" t="s">
        <v>59</v>
      </c>
      <c r="G311" s="53">
        <v>0</v>
      </c>
      <c r="H311" s="120"/>
      <c r="I311" s="121">
        <v>13</v>
      </c>
      <c r="J311" s="120"/>
      <c r="K311" s="76"/>
      <c r="L311" s="75"/>
      <c r="M311" s="75"/>
      <c r="AG311" s="75"/>
      <c r="AH311" s="75"/>
      <c r="AK311" s="75">
        <v>14.6</v>
      </c>
      <c r="CQ311" s="94">
        <v>0</v>
      </c>
    </row>
    <row r="312" spans="1:118" x14ac:dyDescent="0.3">
      <c r="A312" s="150" t="s">
        <v>129</v>
      </c>
      <c r="B312" s="10">
        <v>905</v>
      </c>
      <c r="C312" s="17" t="s">
        <v>130</v>
      </c>
      <c r="D312" s="17" t="s">
        <v>112</v>
      </c>
      <c r="E312" s="10" t="s">
        <v>49</v>
      </c>
      <c r="F312" s="7" t="s">
        <v>50</v>
      </c>
      <c r="G312" s="64">
        <f>G313</f>
        <v>16697.075000000001</v>
      </c>
      <c r="H312" s="111"/>
      <c r="I312" s="112"/>
      <c r="J312" s="111"/>
      <c r="K312" s="76"/>
      <c r="L312" s="75"/>
      <c r="M312" s="75"/>
      <c r="AG312" s="75"/>
      <c r="AH312" s="75"/>
    </row>
    <row r="313" spans="1:118" ht="37.5" x14ac:dyDescent="0.3">
      <c r="A313" s="150" t="s">
        <v>131</v>
      </c>
      <c r="B313" s="10">
        <v>905</v>
      </c>
      <c r="C313" s="17" t="s">
        <v>130</v>
      </c>
      <c r="D313" s="17" t="s">
        <v>121</v>
      </c>
      <c r="E313" s="10" t="s">
        <v>49</v>
      </c>
      <c r="F313" s="7" t="s">
        <v>50</v>
      </c>
      <c r="G313" s="64">
        <f>G314</f>
        <v>16697.075000000001</v>
      </c>
      <c r="H313" s="111"/>
      <c r="I313" s="112"/>
      <c r="J313" s="111"/>
      <c r="K313" s="76"/>
      <c r="L313" s="75"/>
      <c r="M313" s="75"/>
      <c r="AG313" s="75"/>
      <c r="AH313" s="75"/>
    </row>
    <row r="314" spans="1:118" ht="42.75" customHeight="1" x14ac:dyDescent="0.3">
      <c r="A314" s="138" t="s">
        <v>38</v>
      </c>
      <c r="B314" s="11">
        <v>905</v>
      </c>
      <c r="C314" s="6" t="s">
        <v>130</v>
      </c>
      <c r="D314" s="6" t="s">
        <v>121</v>
      </c>
      <c r="E314" s="13" t="s">
        <v>400</v>
      </c>
      <c r="F314" s="12" t="s">
        <v>50</v>
      </c>
      <c r="G314" s="53">
        <f>G315</f>
        <v>16697.075000000001</v>
      </c>
      <c r="H314" s="111"/>
      <c r="I314" s="112"/>
      <c r="J314" s="111"/>
      <c r="K314" s="76"/>
      <c r="L314" s="75"/>
      <c r="M314" s="75"/>
      <c r="AG314" s="75"/>
      <c r="AH314" s="75"/>
    </row>
    <row r="315" spans="1:118" ht="56.25" x14ac:dyDescent="0.3">
      <c r="A315" s="138" t="s">
        <v>138</v>
      </c>
      <c r="B315" s="11">
        <v>905</v>
      </c>
      <c r="C315" s="6" t="s">
        <v>130</v>
      </c>
      <c r="D315" s="6" t="s">
        <v>121</v>
      </c>
      <c r="E315" s="13" t="s">
        <v>51</v>
      </c>
      <c r="F315" s="12" t="s">
        <v>50</v>
      </c>
      <c r="G315" s="53">
        <f>G316</f>
        <v>16697.075000000001</v>
      </c>
      <c r="H315" s="111"/>
      <c r="I315" s="112"/>
      <c r="J315" s="111"/>
      <c r="K315" s="76"/>
      <c r="L315" s="75"/>
      <c r="M315" s="75"/>
      <c r="AG315" s="75"/>
      <c r="AH315" s="75"/>
    </row>
    <row r="316" spans="1:118" ht="37.5" x14ac:dyDescent="0.3">
      <c r="A316" s="138" t="s">
        <v>52</v>
      </c>
      <c r="B316" s="11">
        <v>905</v>
      </c>
      <c r="C316" s="6" t="s">
        <v>130</v>
      </c>
      <c r="D316" s="6" t="s">
        <v>121</v>
      </c>
      <c r="E316" s="13" t="s">
        <v>53</v>
      </c>
      <c r="F316" s="12" t="s">
        <v>50</v>
      </c>
      <c r="G316" s="53">
        <f>G317+G320</f>
        <v>16697.075000000001</v>
      </c>
      <c r="H316" s="111"/>
      <c r="I316" s="112"/>
      <c r="J316" s="111"/>
      <c r="K316" s="76"/>
      <c r="L316" s="75"/>
      <c r="M316" s="75"/>
      <c r="AG316" s="75"/>
      <c r="AH316" s="75"/>
    </row>
    <row r="317" spans="1:118" x14ac:dyDescent="0.3">
      <c r="A317" s="138" t="s">
        <v>82</v>
      </c>
      <c r="B317" s="11">
        <v>905</v>
      </c>
      <c r="C317" s="6" t="s">
        <v>130</v>
      </c>
      <c r="D317" s="6" t="s">
        <v>121</v>
      </c>
      <c r="E317" s="12" t="s">
        <v>43</v>
      </c>
      <c r="F317" s="12" t="s">
        <v>50</v>
      </c>
      <c r="G317" s="53">
        <f>G318+G319+G322+G323</f>
        <v>6430.375</v>
      </c>
      <c r="H317" s="111"/>
      <c r="I317" s="112"/>
      <c r="J317" s="111"/>
      <c r="K317" s="76"/>
      <c r="L317" s="75"/>
      <c r="M317" s="75"/>
      <c r="AG317" s="75"/>
      <c r="AH317" s="75"/>
    </row>
    <row r="318" spans="1:118" ht="93.75" x14ac:dyDescent="0.3">
      <c r="A318" s="138" t="s">
        <v>56</v>
      </c>
      <c r="B318" s="11">
        <v>905</v>
      </c>
      <c r="C318" s="6" t="s">
        <v>130</v>
      </c>
      <c r="D318" s="6" t="s">
        <v>121</v>
      </c>
      <c r="E318" s="12" t="s">
        <v>43</v>
      </c>
      <c r="F318" s="12" t="s">
        <v>57</v>
      </c>
      <c r="G318" s="53">
        <f>CS318+CZ318+DL318+DN318</f>
        <v>6416.076</v>
      </c>
      <c r="H318" s="120">
        <v>11296.8</v>
      </c>
      <c r="I318" s="121"/>
      <c r="J318" s="120"/>
      <c r="K318" s="76"/>
      <c r="L318" s="75"/>
      <c r="M318" s="75"/>
      <c r="AG318" s="75"/>
      <c r="AH318" s="75"/>
      <c r="AK318" s="75">
        <v>6286.2</v>
      </c>
      <c r="BJ318" s="187">
        <v>0.39</v>
      </c>
      <c r="BM318" s="95">
        <v>11753.5</v>
      </c>
      <c r="CS318" s="255">
        <v>14135.5</v>
      </c>
      <c r="CZ318" s="187">
        <v>-8000</v>
      </c>
      <c r="DL318" s="260">
        <v>1.5760000000000001</v>
      </c>
      <c r="DN318" s="260">
        <v>279</v>
      </c>
    </row>
    <row r="319" spans="1:118" ht="37.5" x14ac:dyDescent="0.3">
      <c r="A319" s="138" t="s">
        <v>425</v>
      </c>
      <c r="B319" s="11">
        <v>905</v>
      </c>
      <c r="C319" s="6" t="s">
        <v>130</v>
      </c>
      <c r="D319" s="6" t="s">
        <v>121</v>
      </c>
      <c r="E319" s="12" t="s">
        <v>43</v>
      </c>
      <c r="F319" s="12" t="s">
        <v>59</v>
      </c>
      <c r="G319" s="53">
        <f>CY319</f>
        <v>14.298999999999999</v>
      </c>
      <c r="H319" s="111"/>
      <c r="I319" s="112"/>
      <c r="J319" s="111"/>
      <c r="K319" s="76"/>
      <c r="L319" s="75"/>
      <c r="M319" s="75"/>
      <c r="AG319" s="75"/>
      <c r="AH319" s="75"/>
      <c r="AN319" s="145">
        <v>36</v>
      </c>
      <c r="BJ319" s="187">
        <f>-0.39-21.4</f>
        <v>-21.79</v>
      </c>
      <c r="BX319" s="146">
        <v>16</v>
      </c>
      <c r="CY319" s="187">
        <v>14.298999999999999</v>
      </c>
    </row>
    <row r="320" spans="1:118" ht="37.5" x14ac:dyDescent="0.3">
      <c r="A320" s="157" t="s">
        <v>374</v>
      </c>
      <c r="B320" s="11">
        <v>905</v>
      </c>
      <c r="C320" s="6" t="s">
        <v>130</v>
      </c>
      <c r="D320" s="6" t="s">
        <v>121</v>
      </c>
      <c r="E320" s="12" t="s">
        <v>508</v>
      </c>
      <c r="F320" s="12" t="s">
        <v>50</v>
      </c>
      <c r="G320" s="53">
        <f>G321</f>
        <v>10266.700000000001</v>
      </c>
      <c r="H320" s="111"/>
      <c r="I320" s="112"/>
      <c r="J320" s="111"/>
      <c r="K320" s="76"/>
      <c r="L320" s="75"/>
      <c r="M320" s="75"/>
      <c r="AG320" s="75"/>
      <c r="AH320" s="75"/>
    </row>
    <row r="321" spans="1:118" ht="93.75" x14ac:dyDescent="0.3">
      <c r="A321" s="138" t="s">
        <v>56</v>
      </c>
      <c r="B321" s="11">
        <v>905</v>
      </c>
      <c r="C321" s="6" t="s">
        <v>130</v>
      </c>
      <c r="D321" s="6" t="s">
        <v>121</v>
      </c>
      <c r="E321" s="12" t="s">
        <v>508</v>
      </c>
      <c r="F321" s="12" t="s">
        <v>57</v>
      </c>
      <c r="G321" s="53">
        <f>CY321+DI321</f>
        <v>10266.700000000001</v>
      </c>
      <c r="H321" s="111"/>
      <c r="I321" s="112"/>
      <c r="J321" s="111"/>
      <c r="K321" s="76"/>
      <c r="L321" s="75"/>
      <c r="M321" s="75"/>
      <c r="AG321" s="75"/>
      <c r="AH321" s="75"/>
      <c r="AP321" s="146">
        <v>355.7</v>
      </c>
      <c r="BK321" s="218">
        <v>252</v>
      </c>
      <c r="CY321" s="187">
        <v>8000</v>
      </c>
      <c r="DI321" s="260">
        <v>2266.6999999999998</v>
      </c>
    </row>
    <row r="322" spans="1:118" ht="37.5" hidden="1" x14ac:dyDescent="0.3">
      <c r="A322" s="138" t="s">
        <v>175</v>
      </c>
      <c r="B322" s="11">
        <v>905</v>
      </c>
      <c r="C322" s="6" t="s">
        <v>130</v>
      </c>
      <c r="D322" s="6" t="s">
        <v>121</v>
      </c>
      <c r="E322" s="12" t="s">
        <v>43</v>
      </c>
      <c r="F322" s="12" t="s">
        <v>176</v>
      </c>
      <c r="G322" s="53">
        <v>0</v>
      </c>
      <c r="H322" s="111"/>
      <c r="I322" s="112"/>
      <c r="J322" s="111"/>
      <c r="K322" s="76"/>
      <c r="L322" s="75"/>
      <c r="M322" s="75"/>
      <c r="AG322" s="75"/>
      <c r="AH322" s="75"/>
      <c r="CD322" s="218">
        <v>2.2999999999999998</v>
      </c>
    </row>
    <row r="323" spans="1:118" ht="37.5" hidden="1" x14ac:dyDescent="0.3">
      <c r="A323" s="157" t="s">
        <v>374</v>
      </c>
      <c r="B323" s="11">
        <v>905</v>
      </c>
      <c r="C323" s="6" t="s">
        <v>130</v>
      </c>
      <c r="D323" s="6" t="s">
        <v>121</v>
      </c>
      <c r="E323" s="12" t="s">
        <v>508</v>
      </c>
      <c r="F323" s="12" t="s">
        <v>50</v>
      </c>
      <c r="G323" s="53">
        <f>G324</f>
        <v>0</v>
      </c>
      <c r="H323" s="111"/>
      <c r="I323" s="112"/>
      <c r="J323" s="111"/>
      <c r="K323" s="76"/>
      <c r="L323" s="75"/>
      <c r="M323" s="75"/>
      <c r="AG323" s="75"/>
      <c r="AH323" s="75"/>
    </row>
    <row r="324" spans="1:118" ht="93.75" hidden="1" x14ac:dyDescent="0.3">
      <c r="A324" s="138" t="s">
        <v>56</v>
      </c>
      <c r="B324" s="11">
        <v>905</v>
      </c>
      <c r="C324" s="6" t="s">
        <v>130</v>
      </c>
      <c r="D324" s="6" t="s">
        <v>121</v>
      </c>
      <c r="E324" s="12" t="s">
        <v>508</v>
      </c>
      <c r="F324" s="12" t="s">
        <v>57</v>
      </c>
      <c r="G324" s="53">
        <v>0</v>
      </c>
      <c r="H324" s="111"/>
      <c r="I324" s="112"/>
      <c r="J324" s="111"/>
      <c r="K324" s="76"/>
      <c r="L324" s="75"/>
      <c r="M324" s="75"/>
      <c r="AG324" s="75"/>
      <c r="AH324" s="75"/>
      <c r="CO324" s="251">
        <v>1183.0999999999999</v>
      </c>
    </row>
    <row r="325" spans="1:118" x14ac:dyDescent="0.3">
      <c r="A325" s="150" t="s">
        <v>166</v>
      </c>
      <c r="B325" s="10">
        <v>905</v>
      </c>
      <c r="C325" s="17">
        <v>10</v>
      </c>
      <c r="D325" s="17" t="s">
        <v>112</v>
      </c>
      <c r="E325" s="10" t="s">
        <v>49</v>
      </c>
      <c r="F325" s="7" t="s">
        <v>50</v>
      </c>
      <c r="G325" s="64">
        <f>G326+G339</f>
        <v>28936.82964</v>
      </c>
      <c r="H325" s="111"/>
      <c r="I325" s="112"/>
      <c r="J325" s="111"/>
      <c r="K325" s="76"/>
      <c r="L325" s="75"/>
      <c r="M325" s="75"/>
      <c r="AG325" s="75"/>
      <c r="AH325" s="75"/>
    </row>
    <row r="326" spans="1:118" x14ac:dyDescent="0.3">
      <c r="A326" s="150" t="s">
        <v>167</v>
      </c>
      <c r="B326" s="10">
        <v>905</v>
      </c>
      <c r="C326" s="17">
        <v>10</v>
      </c>
      <c r="D326" s="17" t="s">
        <v>117</v>
      </c>
      <c r="E326" s="10" t="s">
        <v>49</v>
      </c>
      <c r="F326" s="7" t="s">
        <v>50</v>
      </c>
      <c r="G326" s="64">
        <f>G333+G327</f>
        <v>10535.32964</v>
      </c>
      <c r="H326" s="111"/>
      <c r="I326" s="112"/>
      <c r="J326" s="111"/>
      <c r="K326" s="76"/>
      <c r="L326" s="75"/>
      <c r="M326" s="75"/>
      <c r="AG326" s="75"/>
      <c r="AH326" s="75"/>
    </row>
    <row r="327" spans="1:118" ht="56.25" x14ac:dyDescent="0.3">
      <c r="A327" s="138" t="s">
        <v>38</v>
      </c>
      <c r="B327" s="139">
        <v>905</v>
      </c>
      <c r="C327" s="140" t="s">
        <v>169</v>
      </c>
      <c r="D327" s="140" t="s">
        <v>117</v>
      </c>
      <c r="E327" s="139" t="s">
        <v>400</v>
      </c>
      <c r="F327" s="106" t="s">
        <v>50</v>
      </c>
      <c r="G327" s="53">
        <f>G328</f>
        <v>80</v>
      </c>
      <c r="H327" s="111"/>
      <c r="I327" s="112"/>
      <c r="J327" s="111"/>
      <c r="K327" s="76"/>
      <c r="L327" s="75"/>
      <c r="M327" s="75"/>
      <c r="AG327" s="75"/>
      <c r="AH327" s="75"/>
    </row>
    <row r="328" spans="1:118" ht="37.5" x14ac:dyDescent="0.3">
      <c r="A328" s="138" t="s">
        <v>139</v>
      </c>
      <c r="B328" s="139">
        <v>905</v>
      </c>
      <c r="C328" s="140" t="s">
        <v>169</v>
      </c>
      <c r="D328" s="140" t="s">
        <v>117</v>
      </c>
      <c r="E328" s="139" t="s">
        <v>72</v>
      </c>
      <c r="F328" s="106" t="s">
        <v>50</v>
      </c>
      <c r="G328" s="53">
        <f>G329</f>
        <v>80</v>
      </c>
      <c r="H328" s="111"/>
      <c r="I328" s="112"/>
      <c r="J328" s="111"/>
      <c r="K328" s="76"/>
      <c r="L328" s="75"/>
      <c r="M328" s="75"/>
      <c r="AG328" s="75"/>
      <c r="AH328" s="75"/>
    </row>
    <row r="329" spans="1:118" x14ac:dyDescent="0.3">
      <c r="A329" s="138" t="s">
        <v>62</v>
      </c>
      <c r="B329" s="139">
        <v>905</v>
      </c>
      <c r="C329" s="140" t="s">
        <v>169</v>
      </c>
      <c r="D329" s="140" t="s">
        <v>117</v>
      </c>
      <c r="E329" s="139" t="s">
        <v>154</v>
      </c>
      <c r="F329" s="106" t="s">
        <v>50</v>
      </c>
      <c r="G329" s="53">
        <f>G330</f>
        <v>80</v>
      </c>
      <c r="H329" s="111"/>
      <c r="I329" s="112"/>
      <c r="J329" s="111"/>
      <c r="K329" s="76"/>
      <c r="L329" s="75"/>
      <c r="M329" s="75"/>
      <c r="AG329" s="75"/>
      <c r="AH329" s="75"/>
    </row>
    <row r="330" spans="1:118" x14ac:dyDescent="0.3">
      <c r="A330" s="138" t="s">
        <v>153</v>
      </c>
      <c r="B330" s="139">
        <v>905</v>
      </c>
      <c r="C330" s="140" t="s">
        <v>169</v>
      </c>
      <c r="D330" s="140" t="s">
        <v>117</v>
      </c>
      <c r="E330" s="106" t="s">
        <v>155</v>
      </c>
      <c r="F330" s="106" t="s">
        <v>50</v>
      </c>
      <c r="G330" s="53">
        <f>G331+G332</f>
        <v>80</v>
      </c>
      <c r="H330" s="111"/>
      <c r="I330" s="112"/>
      <c r="J330" s="111"/>
      <c r="K330" s="76"/>
      <c r="L330" s="75"/>
      <c r="M330" s="75"/>
      <c r="AG330" s="75"/>
      <c r="AH330" s="75"/>
    </row>
    <row r="331" spans="1:118" ht="37.5" x14ac:dyDescent="0.3">
      <c r="A331" s="138" t="s">
        <v>175</v>
      </c>
      <c r="B331" s="139">
        <v>905</v>
      </c>
      <c r="C331" s="140" t="s">
        <v>169</v>
      </c>
      <c r="D331" s="140" t="s">
        <v>117</v>
      </c>
      <c r="E331" s="106" t="s">
        <v>155</v>
      </c>
      <c r="F331" s="106" t="s">
        <v>176</v>
      </c>
      <c r="G331" s="53">
        <f>CR331</f>
        <v>50</v>
      </c>
      <c r="H331" s="111">
        <v>40</v>
      </c>
      <c r="I331" s="112"/>
      <c r="J331" s="111"/>
      <c r="K331" s="76"/>
      <c r="L331" s="75"/>
      <c r="M331" s="75"/>
      <c r="AG331" s="75"/>
      <c r="AH331" s="75"/>
      <c r="AV331" s="187">
        <v>-10</v>
      </c>
      <c r="BN331" s="229">
        <v>50</v>
      </c>
      <c r="BU331" s="146">
        <v>-20</v>
      </c>
      <c r="CR331" s="94">
        <v>50</v>
      </c>
    </row>
    <row r="332" spans="1:118" ht="56.25" x14ac:dyDescent="0.3">
      <c r="A332" s="138" t="s">
        <v>264</v>
      </c>
      <c r="B332" s="139">
        <v>905</v>
      </c>
      <c r="C332" s="140" t="s">
        <v>169</v>
      </c>
      <c r="D332" s="140" t="s">
        <v>117</v>
      </c>
      <c r="E332" s="106" t="s">
        <v>155</v>
      </c>
      <c r="F332" s="12" t="s">
        <v>261</v>
      </c>
      <c r="G332" s="53">
        <f>CX332+DF332</f>
        <v>30</v>
      </c>
      <c r="H332" s="111"/>
      <c r="I332" s="112"/>
      <c r="J332" s="111"/>
      <c r="K332" s="76"/>
      <c r="L332" s="75"/>
      <c r="M332" s="75"/>
      <c r="AG332" s="75"/>
      <c r="AH332" s="75"/>
      <c r="AV332" s="187">
        <v>10</v>
      </c>
      <c r="BU332" s="146">
        <v>20</v>
      </c>
      <c r="CH332" s="250">
        <v>10</v>
      </c>
      <c r="CX332" s="260">
        <v>15</v>
      </c>
      <c r="DF332" s="187">
        <v>15</v>
      </c>
    </row>
    <row r="333" spans="1:118" ht="59.25" customHeight="1" x14ac:dyDescent="0.3">
      <c r="A333" s="151" t="s">
        <v>0</v>
      </c>
      <c r="B333" s="11">
        <v>905</v>
      </c>
      <c r="C333" s="6">
        <v>10</v>
      </c>
      <c r="D333" s="6" t="s">
        <v>117</v>
      </c>
      <c r="E333" s="13" t="s">
        <v>92</v>
      </c>
      <c r="F333" s="12" t="s">
        <v>50</v>
      </c>
      <c r="G333" s="53">
        <f>G334</f>
        <v>10455.32964</v>
      </c>
      <c r="H333" s="111"/>
      <c r="I333" s="112"/>
      <c r="J333" s="111"/>
      <c r="K333" s="76"/>
      <c r="L333" s="75"/>
      <c r="M333" s="75"/>
      <c r="AG333" s="75"/>
      <c r="AH333" s="75"/>
    </row>
    <row r="334" spans="1:118" ht="80.25" customHeight="1" x14ac:dyDescent="0.3">
      <c r="A334" s="151" t="s">
        <v>2</v>
      </c>
      <c r="B334" s="11">
        <v>905</v>
      </c>
      <c r="C334" s="6">
        <v>10</v>
      </c>
      <c r="D334" s="6" t="s">
        <v>117</v>
      </c>
      <c r="E334" s="13" t="s">
        <v>26</v>
      </c>
      <c r="F334" s="12" t="s">
        <v>50</v>
      </c>
      <c r="G334" s="53">
        <f>G335</f>
        <v>10455.32964</v>
      </c>
      <c r="H334" s="111"/>
      <c r="I334" s="112"/>
      <c r="J334" s="111"/>
      <c r="K334" s="76"/>
      <c r="L334" s="75"/>
      <c r="M334" s="75"/>
      <c r="AG334" s="75"/>
      <c r="AH334" s="75"/>
    </row>
    <row r="335" spans="1:118" ht="37.5" x14ac:dyDescent="0.3">
      <c r="A335" s="138" t="s">
        <v>168</v>
      </c>
      <c r="B335" s="11">
        <v>905</v>
      </c>
      <c r="C335" s="12" t="s">
        <v>169</v>
      </c>
      <c r="D335" s="6" t="s">
        <v>117</v>
      </c>
      <c r="E335" s="13" t="s">
        <v>170</v>
      </c>
      <c r="F335" s="12" t="s">
        <v>50</v>
      </c>
      <c r="G335" s="53">
        <f>G336+G337+G338</f>
        <v>10455.32964</v>
      </c>
      <c r="H335" s="111"/>
      <c r="I335" s="112"/>
      <c r="J335" s="111"/>
      <c r="K335" s="76"/>
      <c r="L335" s="75"/>
      <c r="M335" s="75"/>
      <c r="AG335" s="75"/>
      <c r="AH335" s="75"/>
    </row>
    <row r="336" spans="1:118" ht="37.5" x14ac:dyDescent="0.3">
      <c r="A336" s="138" t="s">
        <v>425</v>
      </c>
      <c r="B336" s="11">
        <v>905</v>
      </c>
      <c r="C336" s="12" t="s">
        <v>169</v>
      </c>
      <c r="D336" s="6" t="s">
        <v>117</v>
      </c>
      <c r="E336" s="13" t="s">
        <v>170</v>
      </c>
      <c r="F336" s="12" t="s">
        <v>59</v>
      </c>
      <c r="G336" s="83">
        <f>CR336+CU336+CX336+CY336+DC336+DD336+DF336+DL336+DN336</f>
        <v>9711.1296399999992</v>
      </c>
      <c r="H336" s="120">
        <v>2874.2</v>
      </c>
      <c r="I336" s="121"/>
      <c r="J336" s="120"/>
      <c r="K336" s="76"/>
      <c r="L336" s="75"/>
      <c r="M336" s="75">
        <v>1859</v>
      </c>
      <c r="U336">
        <v>-2.2999999999999998</v>
      </c>
      <c r="AC336">
        <v>500</v>
      </c>
      <c r="AG336" s="75"/>
      <c r="AH336" s="75">
        <v>234</v>
      </c>
      <c r="AK336" s="110">
        <v>1288.5</v>
      </c>
      <c r="BD336" s="218">
        <f>9+232.77949+160</f>
        <v>401.77949000000001</v>
      </c>
      <c r="BH336" s="225">
        <v>1452.1546000000001</v>
      </c>
      <c r="BL336" s="187">
        <v>-280</v>
      </c>
      <c r="BN336" s="229">
        <f>900+1430</f>
        <v>2330</v>
      </c>
      <c r="CB336" s="218">
        <v>290</v>
      </c>
      <c r="CD336" s="218">
        <v>190</v>
      </c>
      <c r="CF336" s="187">
        <f>475+30</f>
        <v>505</v>
      </c>
      <c r="CH336" s="250">
        <v>272</v>
      </c>
      <c r="CJ336" s="187">
        <v>380</v>
      </c>
      <c r="CL336" s="187">
        <v>90</v>
      </c>
      <c r="CP336" s="251">
        <f>1124.8+205</f>
        <v>1329.8</v>
      </c>
      <c r="CR336" s="94">
        <f>1720+1000</f>
        <v>2720</v>
      </c>
      <c r="CU336" s="250">
        <v>511.8</v>
      </c>
      <c r="CX336" s="260">
        <v>849</v>
      </c>
      <c r="CY336" s="187">
        <f>538+1078.786</f>
        <v>1616.7860000000001</v>
      </c>
      <c r="DC336" s="187">
        <v>535.5</v>
      </c>
      <c r="DD336" s="187">
        <v>842.4</v>
      </c>
      <c r="DF336" s="187">
        <v>883</v>
      </c>
      <c r="DL336" s="260">
        <v>382.8</v>
      </c>
      <c r="DN336" s="260">
        <v>1369.8436400000001</v>
      </c>
    </row>
    <row r="337" spans="1:118" ht="30.75" hidden="1" customHeight="1" x14ac:dyDescent="0.3">
      <c r="A337" s="138" t="s">
        <v>175</v>
      </c>
      <c r="B337" s="11">
        <v>905</v>
      </c>
      <c r="C337" s="12" t="s">
        <v>169</v>
      </c>
      <c r="D337" s="6" t="s">
        <v>117</v>
      </c>
      <c r="E337" s="13" t="s">
        <v>170</v>
      </c>
      <c r="F337" s="12" t="s">
        <v>176</v>
      </c>
      <c r="G337" s="68">
        <v>0</v>
      </c>
      <c r="H337" s="111"/>
      <c r="I337" s="112"/>
      <c r="J337" s="111"/>
      <c r="K337" s="76"/>
      <c r="L337" s="75"/>
      <c r="M337" s="75"/>
      <c r="U337">
        <v>2.2999999999999998</v>
      </c>
      <c r="AG337" s="75"/>
      <c r="AH337" s="75"/>
      <c r="AK337" s="75">
        <v>0</v>
      </c>
    </row>
    <row r="338" spans="1:118" ht="52.5" customHeight="1" x14ac:dyDescent="0.3">
      <c r="A338" s="138" t="s">
        <v>264</v>
      </c>
      <c r="B338" s="11">
        <v>905</v>
      </c>
      <c r="C338" s="12" t="s">
        <v>169</v>
      </c>
      <c r="D338" s="6" t="s">
        <v>117</v>
      </c>
      <c r="E338" s="13" t="s">
        <v>170</v>
      </c>
      <c r="F338" s="12" t="s">
        <v>261</v>
      </c>
      <c r="G338" s="83">
        <f>CR338+CX338+CY338+DF338+DL338+DN338</f>
        <v>744.2</v>
      </c>
      <c r="H338" s="120">
        <v>828</v>
      </c>
      <c r="I338" s="121"/>
      <c r="J338" s="120"/>
      <c r="K338" s="76"/>
      <c r="L338" s="75">
        <v>70.5</v>
      </c>
      <c r="M338" s="75">
        <v>141</v>
      </c>
      <c r="AG338" s="75"/>
      <c r="AH338" s="75"/>
      <c r="AK338" s="110">
        <v>211.5</v>
      </c>
      <c r="BK338" s="218">
        <v>-87</v>
      </c>
      <c r="BN338" s="229">
        <v>370</v>
      </c>
      <c r="CP338" s="251">
        <v>138.19999999999999</v>
      </c>
      <c r="CR338" s="94">
        <v>280</v>
      </c>
      <c r="CX338" s="260">
        <v>58</v>
      </c>
      <c r="CY338" s="187">
        <v>160</v>
      </c>
      <c r="DF338" s="187">
        <v>76</v>
      </c>
      <c r="DL338" s="260">
        <v>62</v>
      </c>
      <c r="DN338" s="260">
        <v>108.2</v>
      </c>
    </row>
    <row r="339" spans="1:118" x14ac:dyDescent="0.3">
      <c r="A339" s="150" t="s">
        <v>171</v>
      </c>
      <c r="B339" s="10">
        <v>905</v>
      </c>
      <c r="C339" s="17">
        <v>10</v>
      </c>
      <c r="D339" s="17" t="s">
        <v>121</v>
      </c>
      <c r="E339" s="10" t="s">
        <v>49</v>
      </c>
      <c r="F339" s="7" t="s">
        <v>50</v>
      </c>
      <c r="G339" s="64">
        <f>G340+G359</f>
        <v>18401.5</v>
      </c>
      <c r="H339" s="111"/>
      <c r="I339" s="112"/>
      <c r="J339" s="111"/>
      <c r="K339" s="76"/>
      <c r="L339" s="75"/>
      <c r="M339" s="75"/>
      <c r="AG339" s="75"/>
      <c r="AH339" s="75"/>
    </row>
    <row r="340" spans="1:118" ht="42.75" hidden="1" customHeight="1" x14ac:dyDescent="0.3">
      <c r="A340" s="138" t="s">
        <v>38</v>
      </c>
      <c r="B340" s="11">
        <v>905</v>
      </c>
      <c r="C340" s="12" t="s">
        <v>169</v>
      </c>
      <c r="D340" s="6" t="s">
        <v>121</v>
      </c>
      <c r="E340" s="13" t="s">
        <v>400</v>
      </c>
      <c r="F340" s="13" t="s">
        <v>50</v>
      </c>
      <c r="G340" s="53">
        <f>G341+G355</f>
        <v>0</v>
      </c>
      <c r="H340" s="111"/>
      <c r="I340" s="112"/>
      <c r="J340" s="111"/>
      <c r="K340" s="76"/>
      <c r="L340" s="75"/>
      <c r="M340" s="75"/>
      <c r="AG340" s="75"/>
      <c r="AH340" s="75"/>
    </row>
    <row r="341" spans="1:118" ht="56.25" hidden="1" x14ac:dyDescent="0.3">
      <c r="A341" s="138" t="s">
        <v>138</v>
      </c>
      <c r="B341" s="11">
        <v>905</v>
      </c>
      <c r="C341" s="12" t="s">
        <v>169</v>
      </c>
      <c r="D341" s="6" t="s">
        <v>121</v>
      </c>
      <c r="E341" s="13" t="s">
        <v>51</v>
      </c>
      <c r="F341" s="13" t="s">
        <v>50</v>
      </c>
      <c r="G341" s="53">
        <f>G342+G347+G350</f>
        <v>0</v>
      </c>
      <c r="H341" s="111"/>
      <c r="I341" s="112"/>
      <c r="J341" s="111"/>
      <c r="K341" s="76"/>
      <c r="L341" s="75"/>
      <c r="M341" s="75"/>
      <c r="AG341" s="75"/>
      <c r="AH341" s="75"/>
    </row>
    <row r="342" spans="1:118" ht="37.5" hidden="1" x14ac:dyDescent="0.3">
      <c r="A342" s="138" t="s">
        <v>52</v>
      </c>
      <c r="B342" s="11">
        <v>905</v>
      </c>
      <c r="C342" s="12" t="s">
        <v>169</v>
      </c>
      <c r="D342" s="6" t="s">
        <v>121</v>
      </c>
      <c r="E342" s="12" t="s">
        <v>53</v>
      </c>
      <c r="F342" s="12" t="s">
        <v>50</v>
      </c>
      <c r="G342" s="53">
        <f>G343+G345</f>
        <v>0</v>
      </c>
      <c r="H342" s="111"/>
      <c r="I342" s="112"/>
      <c r="J342" s="111"/>
      <c r="K342" s="76"/>
      <c r="L342" s="75"/>
      <c r="M342" s="75"/>
      <c r="AG342" s="75"/>
      <c r="AH342" s="75"/>
    </row>
    <row r="343" spans="1:118" hidden="1" x14ac:dyDescent="0.3">
      <c r="A343" s="138" t="s">
        <v>54</v>
      </c>
      <c r="B343" s="11">
        <v>905</v>
      </c>
      <c r="C343" s="12" t="s">
        <v>169</v>
      </c>
      <c r="D343" s="6" t="s">
        <v>121</v>
      </c>
      <c r="E343" s="12" t="s">
        <v>55</v>
      </c>
      <c r="F343" s="12" t="s">
        <v>50</v>
      </c>
      <c r="G343" s="53">
        <f>G344</f>
        <v>0</v>
      </c>
      <c r="H343" s="111"/>
      <c r="I343" s="112"/>
      <c r="J343" s="111"/>
      <c r="K343" s="76"/>
      <c r="L343" s="75"/>
      <c r="M343" s="75"/>
      <c r="AG343" s="75"/>
      <c r="AH343" s="75"/>
    </row>
    <row r="344" spans="1:118" ht="93.75" hidden="1" x14ac:dyDescent="0.3">
      <c r="A344" s="138" t="s">
        <v>56</v>
      </c>
      <c r="B344" s="11">
        <v>905</v>
      </c>
      <c r="C344" s="12" t="s">
        <v>169</v>
      </c>
      <c r="D344" s="6" t="s">
        <v>121</v>
      </c>
      <c r="E344" s="12" t="s">
        <v>55</v>
      </c>
      <c r="F344" s="12" t="s">
        <v>57</v>
      </c>
      <c r="G344" s="53">
        <v>0</v>
      </c>
      <c r="H344" s="120"/>
      <c r="I344" s="121"/>
      <c r="J344" s="120"/>
      <c r="K344" s="76"/>
      <c r="L344" s="75"/>
      <c r="M344" s="75"/>
      <c r="AG344" s="75"/>
      <c r="AH344" s="75"/>
      <c r="AK344" s="75">
        <v>1.4</v>
      </c>
    </row>
    <row r="345" spans="1:118" hidden="1" x14ac:dyDescent="0.3">
      <c r="A345" s="138" t="s">
        <v>82</v>
      </c>
      <c r="B345" s="11">
        <v>905</v>
      </c>
      <c r="C345" s="12" t="s">
        <v>169</v>
      </c>
      <c r="D345" s="6" t="s">
        <v>121</v>
      </c>
      <c r="E345" s="12" t="s">
        <v>43</v>
      </c>
      <c r="F345" s="12" t="s">
        <v>50</v>
      </c>
      <c r="G345" s="53">
        <f>G346</f>
        <v>0</v>
      </c>
      <c r="H345" s="111"/>
      <c r="I345" s="112"/>
      <c r="J345" s="111"/>
      <c r="K345" s="76"/>
      <c r="L345" s="75"/>
      <c r="M345" s="75"/>
      <c r="AG345" s="75"/>
      <c r="AH345" s="75"/>
    </row>
    <row r="346" spans="1:118" ht="93.75" hidden="1" x14ac:dyDescent="0.3">
      <c r="A346" s="138" t="s">
        <v>56</v>
      </c>
      <c r="B346" s="11">
        <v>905</v>
      </c>
      <c r="C346" s="12" t="s">
        <v>169</v>
      </c>
      <c r="D346" s="6" t="s">
        <v>121</v>
      </c>
      <c r="E346" s="12" t="s">
        <v>43</v>
      </c>
      <c r="F346" s="12" t="s">
        <v>57</v>
      </c>
      <c r="G346" s="53">
        <v>0</v>
      </c>
      <c r="H346" s="120"/>
      <c r="I346" s="121"/>
      <c r="J346" s="120"/>
      <c r="K346" s="76"/>
      <c r="L346" s="75"/>
      <c r="M346" s="75"/>
      <c r="AG346" s="75"/>
      <c r="AH346" s="75"/>
      <c r="AK346" s="75">
        <v>0.7</v>
      </c>
    </row>
    <row r="347" spans="1:118" hidden="1" x14ac:dyDescent="0.3">
      <c r="A347" s="138" t="s">
        <v>62</v>
      </c>
      <c r="B347" s="11">
        <v>905</v>
      </c>
      <c r="C347" s="12" t="s">
        <v>169</v>
      </c>
      <c r="D347" s="6" t="s">
        <v>121</v>
      </c>
      <c r="E347" s="12" t="s">
        <v>63</v>
      </c>
      <c r="F347" s="12" t="s">
        <v>50</v>
      </c>
      <c r="G347" s="53">
        <f>G348</f>
        <v>0</v>
      </c>
      <c r="H347" s="111"/>
      <c r="I347" s="112"/>
      <c r="J347" s="111"/>
      <c r="K347" s="76"/>
      <c r="L347" s="75"/>
      <c r="M347" s="75"/>
      <c r="AG347" s="75"/>
      <c r="AH347" s="75"/>
    </row>
    <row r="348" spans="1:118" hidden="1" x14ac:dyDescent="0.3">
      <c r="A348" s="138" t="s">
        <v>66</v>
      </c>
      <c r="B348" s="11">
        <v>905</v>
      </c>
      <c r="C348" s="12" t="s">
        <v>169</v>
      </c>
      <c r="D348" s="6" t="s">
        <v>121</v>
      </c>
      <c r="E348" s="12" t="s">
        <v>67</v>
      </c>
      <c r="F348" s="12" t="s">
        <v>50</v>
      </c>
      <c r="G348" s="53">
        <f>G349</f>
        <v>0</v>
      </c>
      <c r="H348" s="111"/>
      <c r="I348" s="112"/>
      <c r="J348" s="111"/>
      <c r="K348" s="76"/>
      <c r="L348" s="75"/>
      <c r="M348" s="75"/>
      <c r="AG348" s="75"/>
      <c r="AH348" s="75"/>
    </row>
    <row r="349" spans="1:118" ht="93.75" hidden="1" x14ac:dyDescent="0.3">
      <c r="A349" s="138" t="s">
        <v>56</v>
      </c>
      <c r="B349" s="11">
        <v>905</v>
      </c>
      <c r="C349" s="12" t="s">
        <v>169</v>
      </c>
      <c r="D349" s="6" t="s">
        <v>121</v>
      </c>
      <c r="E349" s="12" t="s">
        <v>67</v>
      </c>
      <c r="F349" s="12" t="s">
        <v>57</v>
      </c>
      <c r="G349" s="53">
        <v>0</v>
      </c>
      <c r="H349" s="111"/>
      <c r="I349" s="112"/>
      <c r="J349" s="111"/>
      <c r="K349" s="76"/>
      <c r="L349" s="75"/>
      <c r="M349" s="75"/>
      <c r="AG349" s="75"/>
      <c r="AH349" s="75"/>
    </row>
    <row r="350" spans="1:118" ht="37.5" hidden="1" x14ac:dyDescent="0.3">
      <c r="A350" s="138" t="s">
        <v>68</v>
      </c>
      <c r="B350" s="11">
        <v>905</v>
      </c>
      <c r="C350" s="12" t="s">
        <v>169</v>
      </c>
      <c r="D350" s="6" t="s">
        <v>121</v>
      </c>
      <c r="E350" s="12" t="s">
        <v>69</v>
      </c>
      <c r="F350" s="12" t="s">
        <v>50</v>
      </c>
      <c r="G350" s="53">
        <f>G351+G353</f>
        <v>0</v>
      </c>
      <c r="H350" s="111"/>
      <c r="I350" s="112"/>
      <c r="J350" s="111"/>
      <c r="K350" s="76"/>
      <c r="L350" s="75"/>
      <c r="M350" s="75"/>
      <c r="AG350" s="75"/>
      <c r="AH350" s="75"/>
    </row>
    <row r="351" spans="1:118" ht="93.75" hidden="1" customHeight="1" x14ac:dyDescent="0.3">
      <c r="A351" s="138" t="s">
        <v>76</v>
      </c>
      <c r="B351" s="11">
        <v>905</v>
      </c>
      <c r="C351" s="12" t="s">
        <v>169</v>
      </c>
      <c r="D351" s="6" t="s">
        <v>121</v>
      </c>
      <c r="E351" s="12" t="s">
        <v>41</v>
      </c>
      <c r="F351" s="12" t="s">
        <v>50</v>
      </c>
      <c r="G351" s="53">
        <f>G352</f>
        <v>0</v>
      </c>
      <c r="H351" s="111"/>
      <c r="I351" s="112"/>
      <c r="J351" s="111"/>
      <c r="K351" s="76"/>
      <c r="L351" s="75"/>
      <c r="M351" s="75"/>
      <c r="AG351" s="75"/>
      <c r="AH351" s="75"/>
    </row>
    <row r="352" spans="1:118" ht="93.75" hidden="1" x14ac:dyDescent="0.3">
      <c r="A352" s="138" t="s">
        <v>56</v>
      </c>
      <c r="B352" s="11">
        <v>905</v>
      </c>
      <c r="C352" s="12" t="s">
        <v>169</v>
      </c>
      <c r="D352" s="6" t="s">
        <v>121</v>
      </c>
      <c r="E352" s="12" t="s">
        <v>41</v>
      </c>
      <c r="F352" s="12" t="s">
        <v>57</v>
      </c>
      <c r="G352" s="53">
        <v>0</v>
      </c>
      <c r="H352" s="120"/>
      <c r="I352" s="121"/>
      <c r="J352" s="120"/>
      <c r="K352" s="76"/>
      <c r="L352" s="75"/>
      <c r="M352" s="75"/>
      <c r="AG352" s="75"/>
      <c r="AH352" s="75"/>
      <c r="AK352" s="75">
        <v>0.7</v>
      </c>
    </row>
    <row r="353" spans="1:117" ht="75" hidden="1" x14ac:dyDescent="0.3">
      <c r="A353" s="138" t="s">
        <v>70</v>
      </c>
      <c r="B353" s="11">
        <v>905</v>
      </c>
      <c r="C353" s="12" t="s">
        <v>169</v>
      </c>
      <c r="D353" s="6" t="s">
        <v>121</v>
      </c>
      <c r="E353" s="12" t="s">
        <v>71</v>
      </c>
      <c r="F353" s="12" t="s">
        <v>50</v>
      </c>
      <c r="G353" s="53">
        <f>G354</f>
        <v>0</v>
      </c>
      <c r="H353" s="111"/>
      <c r="I353" s="112"/>
      <c r="J353" s="111"/>
      <c r="K353" s="76"/>
      <c r="L353" s="75"/>
      <c r="M353" s="75"/>
      <c r="AG353" s="75"/>
      <c r="AH353" s="75"/>
    </row>
    <row r="354" spans="1:117" ht="93.75" hidden="1" x14ac:dyDescent="0.3">
      <c r="A354" s="138" t="s">
        <v>56</v>
      </c>
      <c r="B354" s="11">
        <v>905</v>
      </c>
      <c r="C354" s="12" t="s">
        <v>169</v>
      </c>
      <c r="D354" s="6" t="s">
        <v>121</v>
      </c>
      <c r="E354" s="12" t="s">
        <v>71</v>
      </c>
      <c r="F354" s="12" t="s">
        <v>57</v>
      </c>
      <c r="G354" s="53">
        <v>0</v>
      </c>
      <c r="H354" s="111"/>
      <c r="I354" s="112"/>
      <c r="J354" s="111"/>
      <c r="K354" s="76"/>
      <c r="L354" s="75"/>
      <c r="M354" s="75"/>
      <c r="AG354" s="75"/>
      <c r="AH354" s="75"/>
      <c r="AK354" s="75">
        <v>0</v>
      </c>
    </row>
    <row r="355" spans="1:117" ht="37.5" hidden="1" x14ac:dyDescent="0.3">
      <c r="A355" s="157" t="s">
        <v>139</v>
      </c>
      <c r="B355" s="11">
        <v>905</v>
      </c>
      <c r="C355" s="12" t="s">
        <v>169</v>
      </c>
      <c r="D355" s="6" t="s">
        <v>121</v>
      </c>
      <c r="E355" s="13" t="s">
        <v>72</v>
      </c>
      <c r="F355" s="13" t="s">
        <v>50</v>
      </c>
      <c r="G355" s="53">
        <f>G356</f>
        <v>0</v>
      </c>
      <c r="H355" s="111"/>
      <c r="I355" s="112"/>
      <c r="J355" s="111"/>
      <c r="K355" s="76"/>
      <c r="L355" s="75"/>
      <c r="M355" s="75"/>
      <c r="AG355" s="75"/>
      <c r="AH355" s="75"/>
    </row>
    <row r="356" spans="1:117" ht="37.5" hidden="1" x14ac:dyDescent="0.3">
      <c r="A356" s="138" t="s">
        <v>52</v>
      </c>
      <c r="B356" s="11">
        <v>905</v>
      </c>
      <c r="C356" s="12" t="s">
        <v>169</v>
      </c>
      <c r="D356" s="6" t="s">
        <v>121</v>
      </c>
      <c r="E356" s="13" t="s">
        <v>150</v>
      </c>
      <c r="F356" s="13" t="s">
        <v>50</v>
      </c>
      <c r="G356" s="53">
        <f>G357</f>
        <v>0</v>
      </c>
      <c r="H356" s="111"/>
      <c r="I356" s="112"/>
      <c r="J356" s="111"/>
      <c r="K356" s="76"/>
      <c r="L356" s="75"/>
      <c r="M356" s="75"/>
      <c r="AG356" s="75"/>
      <c r="AH356" s="75"/>
    </row>
    <row r="357" spans="1:117" hidden="1" x14ac:dyDescent="0.3">
      <c r="A357" s="138" t="s">
        <v>78</v>
      </c>
      <c r="B357" s="11">
        <v>905</v>
      </c>
      <c r="C357" s="12" t="s">
        <v>169</v>
      </c>
      <c r="D357" s="6" t="s">
        <v>121</v>
      </c>
      <c r="E357" s="13" t="s">
        <v>151</v>
      </c>
      <c r="F357" s="13" t="s">
        <v>50</v>
      </c>
      <c r="G357" s="53">
        <f>G358</f>
        <v>0</v>
      </c>
      <c r="H357" s="111"/>
      <c r="I357" s="112"/>
      <c r="J357" s="111"/>
      <c r="K357" s="76"/>
      <c r="L357" s="75"/>
      <c r="M357" s="75"/>
      <c r="AG357" s="75"/>
      <c r="AH357" s="75"/>
    </row>
    <row r="358" spans="1:117" ht="93.75" hidden="1" x14ac:dyDescent="0.3">
      <c r="A358" s="138" t="s">
        <v>56</v>
      </c>
      <c r="B358" s="11">
        <v>905</v>
      </c>
      <c r="C358" s="12" t="s">
        <v>169</v>
      </c>
      <c r="D358" s="6" t="s">
        <v>121</v>
      </c>
      <c r="E358" s="13" t="s">
        <v>151</v>
      </c>
      <c r="F358" s="13" t="s">
        <v>57</v>
      </c>
      <c r="G358" s="53">
        <v>0</v>
      </c>
      <c r="H358" s="111"/>
      <c r="I358" s="112"/>
      <c r="J358" s="111"/>
      <c r="K358" s="76"/>
      <c r="L358" s="75"/>
      <c r="M358" s="75"/>
      <c r="AG358" s="75"/>
      <c r="AH358" s="75"/>
    </row>
    <row r="359" spans="1:117" ht="56.25" x14ac:dyDescent="0.3">
      <c r="A359" s="151" t="s">
        <v>0</v>
      </c>
      <c r="B359" s="11">
        <v>905</v>
      </c>
      <c r="C359" s="6" t="s">
        <v>169</v>
      </c>
      <c r="D359" s="6" t="s">
        <v>121</v>
      </c>
      <c r="E359" s="13" t="s">
        <v>92</v>
      </c>
      <c r="F359" s="12" t="s">
        <v>50</v>
      </c>
      <c r="G359" s="53">
        <f>G360+G371</f>
        <v>18401.5</v>
      </c>
      <c r="H359" s="111"/>
      <c r="I359" s="112"/>
      <c r="J359" s="111"/>
      <c r="K359" s="76"/>
      <c r="L359" s="75"/>
      <c r="M359" s="75"/>
      <c r="AG359" s="75"/>
      <c r="AH359" s="75"/>
    </row>
    <row r="360" spans="1:117" ht="82.5" customHeight="1" x14ac:dyDescent="0.3">
      <c r="A360" s="151" t="s">
        <v>2</v>
      </c>
      <c r="B360" s="11">
        <v>905</v>
      </c>
      <c r="C360" s="6">
        <v>10</v>
      </c>
      <c r="D360" s="6" t="s">
        <v>121</v>
      </c>
      <c r="E360" s="13" t="s">
        <v>26</v>
      </c>
      <c r="F360" s="12" t="s">
        <v>50</v>
      </c>
      <c r="G360" s="53">
        <f>G361+G366</f>
        <v>3571.3</v>
      </c>
      <c r="H360" s="111"/>
      <c r="I360" s="112"/>
      <c r="J360" s="111"/>
      <c r="K360" s="76"/>
      <c r="L360" s="75"/>
      <c r="M360" s="75"/>
      <c r="AG360" s="75"/>
      <c r="AH360" s="75"/>
    </row>
    <row r="361" spans="1:117" ht="80.25" customHeight="1" x14ac:dyDescent="0.3">
      <c r="A361" s="138" t="s">
        <v>173</v>
      </c>
      <c r="B361" s="11">
        <v>905</v>
      </c>
      <c r="C361" s="6" t="s">
        <v>169</v>
      </c>
      <c r="D361" s="6" t="s">
        <v>121</v>
      </c>
      <c r="E361" s="12" t="s">
        <v>804</v>
      </c>
      <c r="F361" s="12" t="s">
        <v>50</v>
      </c>
      <c r="G361" s="53">
        <f>G362</f>
        <v>2860.3</v>
      </c>
      <c r="H361" s="111"/>
      <c r="I361" s="112"/>
      <c r="J361" s="111"/>
      <c r="K361" s="76"/>
      <c r="L361" s="75"/>
      <c r="M361" s="75"/>
      <c r="AG361" s="75"/>
      <c r="AH361" s="75"/>
    </row>
    <row r="362" spans="1:117" ht="91.5" customHeight="1" x14ac:dyDescent="0.3">
      <c r="A362" s="138" t="s">
        <v>179</v>
      </c>
      <c r="B362" s="11">
        <v>905</v>
      </c>
      <c r="C362" s="6" t="s">
        <v>169</v>
      </c>
      <c r="D362" s="6" t="s">
        <v>121</v>
      </c>
      <c r="E362" s="12" t="s">
        <v>805</v>
      </c>
      <c r="F362" s="12" t="s">
        <v>50</v>
      </c>
      <c r="G362" s="53">
        <f>G364+G365+G363</f>
        <v>2860.3</v>
      </c>
      <c r="H362" s="111"/>
      <c r="I362" s="112"/>
      <c r="J362" s="111"/>
      <c r="K362" s="76"/>
      <c r="L362" s="75"/>
      <c r="M362" s="75"/>
      <c r="AG362" s="75"/>
      <c r="AH362" s="75"/>
    </row>
    <row r="363" spans="1:117" ht="97.5" hidden="1" customHeight="1" outlineLevel="1" x14ac:dyDescent="0.3">
      <c r="A363" s="138" t="s">
        <v>56</v>
      </c>
      <c r="B363" s="11">
        <v>905</v>
      </c>
      <c r="C363" s="6" t="s">
        <v>169</v>
      </c>
      <c r="D363" s="6" t="s">
        <v>121</v>
      </c>
      <c r="E363" s="12" t="s">
        <v>805</v>
      </c>
      <c r="F363" s="12" t="s">
        <v>57</v>
      </c>
      <c r="G363" s="68">
        <v>0</v>
      </c>
      <c r="H363" s="111"/>
      <c r="I363" s="112"/>
      <c r="J363" s="111"/>
      <c r="K363" s="76"/>
      <c r="L363" s="75"/>
      <c r="M363" s="75"/>
      <c r="AG363" s="75"/>
      <c r="AH363" s="75"/>
      <c r="BO363" s="230">
        <v>79.7</v>
      </c>
      <c r="BU363" s="146">
        <v>-79.7</v>
      </c>
    </row>
    <row r="364" spans="1:117" ht="39.75" customHeight="1" collapsed="1" x14ac:dyDescent="0.3">
      <c r="A364" s="138" t="s">
        <v>425</v>
      </c>
      <c r="B364" s="11">
        <v>905</v>
      </c>
      <c r="C364" s="6" t="s">
        <v>169</v>
      </c>
      <c r="D364" s="6" t="s">
        <v>121</v>
      </c>
      <c r="E364" s="12" t="s">
        <v>805</v>
      </c>
      <c r="F364" s="12" t="s">
        <v>59</v>
      </c>
      <c r="G364" s="53">
        <f>CQ364</f>
        <v>24.3</v>
      </c>
      <c r="H364" s="120"/>
      <c r="I364" s="121">
        <v>32.4</v>
      </c>
      <c r="J364" s="120"/>
      <c r="K364" s="76"/>
      <c r="L364" s="75"/>
      <c r="M364" s="75"/>
      <c r="AG364" s="75"/>
      <c r="AH364" s="75"/>
      <c r="AK364" s="75">
        <v>36.4</v>
      </c>
      <c r="BO364" s="230">
        <v>28.9</v>
      </c>
      <c r="CQ364" s="94">
        <v>24.3</v>
      </c>
    </row>
    <row r="365" spans="1:117" ht="27" customHeight="1" x14ac:dyDescent="0.3">
      <c r="A365" s="138" t="s">
        <v>175</v>
      </c>
      <c r="B365" s="11">
        <v>905</v>
      </c>
      <c r="C365" s="6" t="s">
        <v>169</v>
      </c>
      <c r="D365" s="6" t="s">
        <v>121</v>
      </c>
      <c r="E365" s="12" t="s">
        <v>805</v>
      </c>
      <c r="F365" s="12" t="s">
        <v>176</v>
      </c>
      <c r="G365" s="53">
        <f>CQ365+DI365</f>
        <v>2836</v>
      </c>
      <c r="H365" s="120"/>
      <c r="I365" s="121">
        <v>4047.5</v>
      </c>
      <c r="J365" s="120"/>
      <c r="K365" s="76"/>
      <c r="L365" s="75"/>
      <c r="M365" s="75"/>
      <c r="AG365" s="75"/>
      <c r="AH365" s="75"/>
      <c r="AK365" s="75">
        <v>4546.3999999999996</v>
      </c>
      <c r="BO365" s="230">
        <v>3606.4</v>
      </c>
      <c r="CQ365" s="94">
        <v>3036</v>
      </c>
      <c r="DI365" s="260">
        <v>-200</v>
      </c>
    </row>
    <row r="366" spans="1:117" ht="180" customHeight="1" x14ac:dyDescent="0.3">
      <c r="A366" s="138" t="s">
        <v>941</v>
      </c>
      <c r="B366" s="11">
        <v>905</v>
      </c>
      <c r="C366" s="6" t="s">
        <v>169</v>
      </c>
      <c r="D366" s="6" t="s">
        <v>121</v>
      </c>
      <c r="E366" s="12" t="s">
        <v>940</v>
      </c>
      <c r="F366" s="12" t="s">
        <v>50</v>
      </c>
      <c r="G366" s="53">
        <f>G367+G368+G370+G369</f>
        <v>711</v>
      </c>
      <c r="H366" s="120"/>
      <c r="I366" s="121"/>
      <c r="J366" s="120"/>
      <c r="K366" s="76"/>
      <c r="L366" s="75"/>
      <c r="M366" s="75"/>
      <c r="AG366" s="75"/>
      <c r="AH366" s="75"/>
    </row>
    <row r="367" spans="1:117" ht="55.5" customHeight="1" x14ac:dyDescent="0.3">
      <c r="A367" s="138" t="s">
        <v>425</v>
      </c>
      <c r="B367" s="11">
        <v>905</v>
      </c>
      <c r="C367" s="6" t="s">
        <v>169</v>
      </c>
      <c r="D367" s="6" t="s">
        <v>121</v>
      </c>
      <c r="E367" s="12" t="s">
        <v>940</v>
      </c>
      <c r="F367" s="12" t="s">
        <v>59</v>
      </c>
      <c r="G367" s="53">
        <f>724.5+DI367+DM367</f>
        <v>504.90249999999997</v>
      </c>
      <c r="H367" s="120"/>
      <c r="I367" s="121"/>
      <c r="J367" s="120"/>
      <c r="K367" s="76"/>
      <c r="L367" s="75"/>
      <c r="M367" s="75"/>
      <c r="AG367" s="75"/>
      <c r="AH367" s="75"/>
      <c r="CI367" s="187">
        <v>205.4</v>
      </c>
      <c r="CQ367" s="94">
        <v>1010</v>
      </c>
      <c r="DI367" s="260">
        <v>-206.54750000000001</v>
      </c>
      <c r="DM367" s="187">
        <v>-13.05</v>
      </c>
    </row>
    <row r="368" spans="1:117" ht="39.75" hidden="1" customHeight="1" x14ac:dyDescent="0.3">
      <c r="A368" s="138" t="s">
        <v>175</v>
      </c>
      <c r="B368" s="11">
        <v>905</v>
      </c>
      <c r="C368" s="6" t="s">
        <v>169</v>
      </c>
      <c r="D368" s="6" t="s">
        <v>121</v>
      </c>
      <c r="E368" s="12" t="s">
        <v>940</v>
      </c>
      <c r="F368" s="12" t="s">
        <v>176</v>
      </c>
      <c r="G368" s="53">
        <v>0</v>
      </c>
      <c r="H368" s="120"/>
      <c r="I368" s="121"/>
      <c r="J368" s="120"/>
      <c r="K368" s="76"/>
      <c r="L368" s="75"/>
      <c r="M368" s="75"/>
      <c r="AG368" s="75"/>
      <c r="AH368" s="75"/>
      <c r="CI368" s="187">
        <v>128</v>
      </c>
    </row>
    <row r="369" spans="1:117" ht="39.75" customHeight="1" x14ac:dyDescent="0.3">
      <c r="A369" s="138" t="s">
        <v>175</v>
      </c>
      <c r="B369" s="11">
        <v>905</v>
      </c>
      <c r="C369" s="6" t="s">
        <v>169</v>
      </c>
      <c r="D369" s="6" t="s">
        <v>121</v>
      </c>
      <c r="E369" s="12" t="s">
        <v>940</v>
      </c>
      <c r="F369" s="12" t="s">
        <v>176</v>
      </c>
      <c r="G369" s="53">
        <f>52.4+DM369</f>
        <v>65.45</v>
      </c>
      <c r="H369" s="120"/>
      <c r="I369" s="121"/>
      <c r="J369" s="120"/>
      <c r="K369" s="76"/>
      <c r="L369" s="75"/>
      <c r="M369" s="75"/>
      <c r="AG369" s="75"/>
      <c r="AH369" s="75"/>
      <c r="DM369" s="187">
        <v>13.05</v>
      </c>
    </row>
    <row r="370" spans="1:117" ht="51.75" customHeight="1" x14ac:dyDescent="0.3">
      <c r="A370" s="138" t="s">
        <v>264</v>
      </c>
      <c r="B370" s="11">
        <v>905</v>
      </c>
      <c r="C370" s="6" t="s">
        <v>169</v>
      </c>
      <c r="D370" s="6" t="s">
        <v>121</v>
      </c>
      <c r="E370" s="12" t="s">
        <v>940</v>
      </c>
      <c r="F370" s="12" t="s">
        <v>261</v>
      </c>
      <c r="G370" s="53">
        <f>233.1+DI370</f>
        <v>140.64749999999998</v>
      </c>
      <c r="H370" s="120"/>
      <c r="I370" s="121"/>
      <c r="J370" s="120"/>
      <c r="K370" s="76"/>
      <c r="L370" s="75"/>
      <c r="M370" s="75"/>
      <c r="AG370" s="75"/>
      <c r="AH370" s="75"/>
      <c r="CI370" s="187">
        <v>83.5</v>
      </c>
      <c r="DI370" s="260">
        <v>-92.452500000000001</v>
      </c>
    </row>
    <row r="371" spans="1:117" ht="55.5" customHeight="1" x14ac:dyDescent="0.3">
      <c r="A371" s="138" t="s">
        <v>172</v>
      </c>
      <c r="B371" s="11">
        <v>905</v>
      </c>
      <c r="C371" s="6" t="s">
        <v>169</v>
      </c>
      <c r="D371" s="6" t="s">
        <v>121</v>
      </c>
      <c r="E371" s="13" t="s">
        <v>94</v>
      </c>
      <c r="F371" s="12" t="s">
        <v>50</v>
      </c>
      <c r="G371" s="53">
        <f>G372</f>
        <v>14830.2</v>
      </c>
      <c r="H371" s="111"/>
      <c r="I371" s="112"/>
      <c r="J371" s="111"/>
      <c r="K371" s="76"/>
      <c r="L371" s="75"/>
      <c r="M371" s="75"/>
      <c r="AG371" s="75"/>
      <c r="AH371" s="75"/>
    </row>
    <row r="372" spans="1:117" ht="75" x14ac:dyDescent="0.3">
      <c r="A372" s="138" t="s">
        <v>173</v>
      </c>
      <c r="B372" s="11">
        <v>905</v>
      </c>
      <c r="C372" s="6" t="s">
        <v>169</v>
      </c>
      <c r="D372" s="6" t="s">
        <v>121</v>
      </c>
      <c r="E372" s="12" t="s">
        <v>846</v>
      </c>
      <c r="F372" s="12" t="s">
        <v>50</v>
      </c>
      <c r="G372" s="53">
        <f>G373</f>
        <v>14830.2</v>
      </c>
      <c r="H372" s="111"/>
      <c r="I372" s="112"/>
      <c r="J372" s="111"/>
      <c r="K372" s="76"/>
      <c r="L372" s="75"/>
      <c r="M372" s="75"/>
      <c r="AG372" s="75"/>
      <c r="AH372" s="75"/>
    </row>
    <row r="373" spans="1:117" ht="116.25" customHeight="1" x14ac:dyDescent="0.3">
      <c r="A373" s="138" t="s">
        <v>174</v>
      </c>
      <c r="B373" s="11">
        <v>905</v>
      </c>
      <c r="C373" s="6" t="s">
        <v>169</v>
      </c>
      <c r="D373" s="6" t="s">
        <v>121</v>
      </c>
      <c r="E373" s="12" t="s">
        <v>849</v>
      </c>
      <c r="F373" s="12" t="s">
        <v>50</v>
      </c>
      <c r="G373" s="53">
        <f>G374+G375+G382</f>
        <v>14830.2</v>
      </c>
      <c r="H373" s="111"/>
      <c r="I373" s="112"/>
      <c r="J373" s="111"/>
      <c r="K373" s="76"/>
      <c r="L373" s="75"/>
      <c r="M373" s="75"/>
      <c r="AG373" s="75"/>
      <c r="AH373" s="75"/>
      <c r="BO373" s="230">
        <v>13074</v>
      </c>
    </row>
    <row r="374" spans="1:117" ht="37.5" x14ac:dyDescent="0.3">
      <c r="A374" s="138" t="s">
        <v>425</v>
      </c>
      <c r="B374" s="11">
        <v>905</v>
      </c>
      <c r="C374" s="6" t="s">
        <v>169</v>
      </c>
      <c r="D374" s="6" t="s">
        <v>121</v>
      </c>
      <c r="E374" s="12" t="s">
        <v>849</v>
      </c>
      <c r="F374" s="12" t="s">
        <v>59</v>
      </c>
      <c r="G374" s="53">
        <f>CQ374</f>
        <v>149</v>
      </c>
      <c r="H374" s="120"/>
      <c r="I374" s="121">
        <v>160</v>
      </c>
      <c r="J374" s="120"/>
      <c r="K374" s="76"/>
      <c r="L374" s="75"/>
      <c r="M374" s="75"/>
      <c r="AG374" s="75"/>
      <c r="AH374" s="75"/>
      <c r="AK374" s="75">
        <v>150</v>
      </c>
      <c r="BO374" s="230">
        <v>162</v>
      </c>
      <c r="CQ374" s="94">
        <v>149</v>
      </c>
    </row>
    <row r="375" spans="1:117" ht="28.5" customHeight="1" x14ac:dyDescent="0.3">
      <c r="A375" s="138" t="s">
        <v>175</v>
      </c>
      <c r="B375" s="11">
        <v>905</v>
      </c>
      <c r="C375" s="6" t="s">
        <v>169</v>
      </c>
      <c r="D375" s="6" t="s">
        <v>121</v>
      </c>
      <c r="E375" s="12" t="s">
        <v>849</v>
      </c>
      <c r="F375" s="12" t="s">
        <v>176</v>
      </c>
      <c r="G375" s="53">
        <f>CQ375+CU375+DB375+DG375+DI375</f>
        <v>14543.7</v>
      </c>
      <c r="H375" s="120"/>
      <c r="I375" s="121">
        <v>13267</v>
      </c>
      <c r="J375" s="120"/>
      <c r="K375" s="76"/>
      <c r="L375" s="75"/>
      <c r="M375" s="75"/>
      <c r="AG375" s="75">
        <v>410</v>
      </c>
      <c r="AH375" s="75"/>
      <c r="AK375" s="75">
        <v>11820</v>
      </c>
      <c r="BT375" s="146">
        <v>720</v>
      </c>
      <c r="CQ375" s="94">
        <v>14845</v>
      </c>
      <c r="CU375" s="250">
        <v>-137.4</v>
      </c>
      <c r="DB375" s="187">
        <f>19.1+28</f>
        <v>47.1</v>
      </c>
      <c r="DG375" s="187">
        <v>-81</v>
      </c>
      <c r="DI375" s="260">
        <v>-130</v>
      </c>
    </row>
    <row r="376" spans="1:117" ht="28.5" hidden="1" customHeight="1" outlineLevel="1" x14ac:dyDescent="0.3">
      <c r="A376" s="202" t="s">
        <v>329</v>
      </c>
      <c r="B376" s="10">
        <v>905</v>
      </c>
      <c r="C376" s="20">
        <v>11</v>
      </c>
      <c r="D376" s="7" t="s">
        <v>112</v>
      </c>
      <c r="E376" s="20" t="s">
        <v>49</v>
      </c>
      <c r="F376" s="7" t="s">
        <v>50</v>
      </c>
      <c r="G376" s="64">
        <f>G377</f>
        <v>0</v>
      </c>
      <c r="H376" s="111"/>
      <c r="I376" s="112"/>
      <c r="J376" s="111"/>
      <c r="K376" s="76"/>
      <c r="L376" s="75"/>
      <c r="M376" s="75"/>
      <c r="AG376" s="75"/>
      <c r="AH376" s="75"/>
    </row>
    <row r="377" spans="1:117" ht="28.5" hidden="1" customHeight="1" outlineLevel="1" x14ac:dyDescent="0.3">
      <c r="A377" s="202" t="s">
        <v>330</v>
      </c>
      <c r="B377" s="10">
        <v>905</v>
      </c>
      <c r="C377" s="20">
        <v>11</v>
      </c>
      <c r="D377" s="7" t="s">
        <v>116</v>
      </c>
      <c r="E377" s="20" t="s">
        <v>49</v>
      </c>
      <c r="F377" s="7" t="s">
        <v>50</v>
      </c>
      <c r="G377" s="64">
        <f>G378</f>
        <v>0</v>
      </c>
      <c r="H377" s="111"/>
      <c r="I377" s="112"/>
      <c r="J377" s="111"/>
      <c r="K377" s="76"/>
      <c r="L377" s="75"/>
      <c r="M377" s="75"/>
      <c r="AG377" s="75"/>
      <c r="AH377" s="75"/>
    </row>
    <row r="378" spans="1:117" ht="62.25" hidden="1" customHeight="1" outlineLevel="1" x14ac:dyDescent="0.3">
      <c r="A378" s="151" t="s">
        <v>159</v>
      </c>
      <c r="B378" s="11">
        <v>905</v>
      </c>
      <c r="C378" s="6" t="s">
        <v>183</v>
      </c>
      <c r="D378" s="6" t="s">
        <v>116</v>
      </c>
      <c r="E378" s="12" t="s">
        <v>91</v>
      </c>
      <c r="F378" s="12" t="s">
        <v>50</v>
      </c>
      <c r="G378" s="53">
        <f>G379</f>
        <v>0</v>
      </c>
      <c r="H378" s="111"/>
      <c r="I378" s="112"/>
      <c r="J378" s="111"/>
      <c r="K378" s="76"/>
      <c r="L378" s="75"/>
      <c r="M378" s="75"/>
      <c r="AG378" s="75"/>
      <c r="AH378" s="75"/>
    </row>
    <row r="379" spans="1:117" ht="28.5" hidden="1" customHeight="1" outlineLevel="1" x14ac:dyDescent="0.3">
      <c r="A379" s="138" t="s">
        <v>62</v>
      </c>
      <c r="B379" s="11">
        <v>905</v>
      </c>
      <c r="C379" s="6" t="s">
        <v>183</v>
      </c>
      <c r="D379" s="6" t="s">
        <v>116</v>
      </c>
      <c r="E379" s="12" t="s">
        <v>332</v>
      </c>
      <c r="F379" s="12" t="s">
        <v>50</v>
      </c>
      <c r="G379" s="53">
        <f>G380</f>
        <v>0</v>
      </c>
      <c r="H379" s="111"/>
      <c r="I379" s="112"/>
      <c r="J379" s="111"/>
      <c r="K379" s="76"/>
      <c r="L379" s="75"/>
      <c r="M379" s="75"/>
      <c r="AG379" s="75"/>
      <c r="AH379" s="75"/>
    </row>
    <row r="380" spans="1:117" ht="29.25" hidden="1" customHeight="1" outlineLevel="1" x14ac:dyDescent="0.3">
      <c r="A380" s="138" t="s">
        <v>331</v>
      </c>
      <c r="B380" s="11">
        <v>905</v>
      </c>
      <c r="C380" s="6" t="s">
        <v>183</v>
      </c>
      <c r="D380" s="6" t="s">
        <v>116</v>
      </c>
      <c r="E380" s="12" t="s">
        <v>333</v>
      </c>
      <c r="F380" s="12" t="s">
        <v>50</v>
      </c>
      <c r="G380" s="53">
        <f>G381</f>
        <v>0</v>
      </c>
      <c r="H380" s="111"/>
      <c r="I380" s="112"/>
      <c r="J380" s="111"/>
      <c r="K380" s="76"/>
      <c r="L380" s="75"/>
      <c r="M380" s="75"/>
      <c r="AG380" s="75"/>
      <c r="AH380" s="75"/>
    </row>
    <row r="381" spans="1:117" ht="38.25" hidden="1" customHeight="1" outlineLevel="1" x14ac:dyDescent="0.3">
      <c r="A381" s="138" t="s">
        <v>425</v>
      </c>
      <c r="B381" s="11">
        <v>905</v>
      </c>
      <c r="C381" s="6" t="s">
        <v>183</v>
      </c>
      <c r="D381" s="6" t="s">
        <v>116</v>
      </c>
      <c r="E381" s="12" t="s">
        <v>333</v>
      </c>
      <c r="F381" s="12" t="s">
        <v>59</v>
      </c>
      <c r="G381" s="53">
        <f>7-7</f>
        <v>0</v>
      </c>
      <c r="H381" s="111"/>
      <c r="I381" s="112"/>
      <c r="J381" s="111"/>
      <c r="K381" s="76"/>
      <c r="L381" s="75"/>
      <c r="M381" s="75"/>
      <c r="AG381" s="75"/>
      <c r="AH381" s="75"/>
    </row>
    <row r="382" spans="1:117" ht="38.25" customHeight="1" outlineLevel="1" x14ac:dyDescent="0.3">
      <c r="A382" s="138" t="s">
        <v>264</v>
      </c>
      <c r="B382" s="11">
        <v>905</v>
      </c>
      <c r="C382" s="6" t="s">
        <v>169</v>
      </c>
      <c r="D382" s="6" t="s">
        <v>121</v>
      </c>
      <c r="E382" s="12" t="s">
        <v>849</v>
      </c>
      <c r="F382" s="12" t="s">
        <v>261</v>
      </c>
      <c r="G382" s="53">
        <f>CU382+DB382</f>
        <v>137.5</v>
      </c>
      <c r="H382" s="111"/>
      <c r="I382" s="112"/>
      <c r="J382" s="111"/>
      <c r="K382" s="76"/>
      <c r="L382" s="75"/>
      <c r="M382" s="75"/>
      <c r="AG382" s="75"/>
      <c r="AH382" s="75"/>
      <c r="CU382" s="250">
        <v>137.4</v>
      </c>
      <c r="DB382" s="187">
        <v>0.1</v>
      </c>
    </row>
    <row r="383" spans="1:117" ht="56.25" x14ac:dyDescent="0.3">
      <c r="A383" s="198" t="s">
        <v>348</v>
      </c>
      <c r="B383" s="8">
        <v>912</v>
      </c>
      <c r="C383" s="9" t="s">
        <v>112</v>
      </c>
      <c r="D383" s="9" t="s">
        <v>112</v>
      </c>
      <c r="E383" s="9" t="s">
        <v>49</v>
      </c>
      <c r="F383" s="9" t="s">
        <v>50</v>
      </c>
      <c r="G383" s="67">
        <f>G384+G419+G426+G405</f>
        <v>12468.414999999999</v>
      </c>
      <c r="H383" s="111"/>
      <c r="I383" s="112"/>
      <c r="J383" s="111"/>
      <c r="K383" s="76"/>
      <c r="L383" s="75"/>
      <c r="M383" s="75"/>
      <c r="AG383" s="75"/>
      <c r="AH383" s="75"/>
    </row>
    <row r="384" spans="1:117" x14ac:dyDescent="0.3">
      <c r="A384" s="197" t="s">
        <v>114</v>
      </c>
      <c r="B384" s="10">
        <v>912</v>
      </c>
      <c r="C384" s="7" t="s">
        <v>115</v>
      </c>
      <c r="D384" s="7" t="s">
        <v>112</v>
      </c>
      <c r="E384" s="7" t="s">
        <v>49</v>
      </c>
      <c r="F384" s="7" t="s">
        <v>50</v>
      </c>
      <c r="G384" s="64">
        <f>G385+G400</f>
        <v>12468.414999999999</v>
      </c>
      <c r="H384" s="111"/>
      <c r="I384" s="112"/>
      <c r="J384" s="111"/>
      <c r="K384" s="76"/>
      <c r="L384" s="75"/>
      <c r="M384" s="75"/>
      <c r="AG384" s="75"/>
      <c r="AH384" s="75"/>
    </row>
    <row r="385" spans="1:115" ht="75" x14ac:dyDescent="0.3">
      <c r="A385" s="197" t="s">
        <v>120</v>
      </c>
      <c r="B385" s="10">
        <v>912</v>
      </c>
      <c r="C385" s="7" t="s">
        <v>115</v>
      </c>
      <c r="D385" s="7" t="s">
        <v>121</v>
      </c>
      <c r="E385" s="7" t="s">
        <v>49</v>
      </c>
      <c r="F385" s="7" t="s">
        <v>50</v>
      </c>
      <c r="G385" s="64">
        <f>G386</f>
        <v>12368.414999999999</v>
      </c>
      <c r="H385" s="111"/>
      <c r="I385" s="112"/>
      <c r="J385" s="111"/>
      <c r="K385" s="76"/>
      <c r="L385" s="75"/>
      <c r="M385" s="75"/>
      <c r="V385" t="s">
        <v>610</v>
      </c>
      <c r="AG385" s="75"/>
      <c r="AH385" s="75"/>
    </row>
    <row r="386" spans="1:115" ht="56.25" x14ac:dyDescent="0.3">
      <c r="A386" s="200" t="s">
        <v>16</v>
      </c>
      <c r="B386" s="11">
        <v>912</v>
      </c>
      <c r="C386" s="12" t="s">
        <v>115</v>
      </c>
      <c r="D386" s="12" t="s">
        <v>121</v>
      </c>
      <c r="E386" s="13" t="s">
        <v>32</v>
      </c>
      <c r="F386" s="13" t="s">
        <v>50</v>
      </c>
      <c r="G386" s="53">
        <f>G387+G398</f>
        <v>12368.414999999999</v>
      </c>
      <c r="H386" s="111"/>
      <c r="I386" s="112"/>
      <c r="J386" s="111"/>
      <c r="K386" s="76"/>
      <c r="L386" s="75"/>
      <c r="M386" s="75"/>
      <c r="AG386" s="75"/>
      <c r="AH386" s="75"/>
    </row>
    <row r="387" spans="1:115" ht="40.5" customHeight="1" x14ac:dyDescent="0.3">
      <c r="A387" s="157" t="s">
        <v>18</v>
      </c>
      <c r="B387" s="11">
        <v>912</v>
      </c>
      <c r="C387" s="12" t="s">
        <v>115</v>
      </c>
      <c r="D387" s="12" t="s">
        <v>121</v>
      </c>
      <c r="E387" s="13" t="s">
        <v>34</v>
      </c>
      <c r="F387" s="13" t="s">
        <v>50</v>
      </c>
      <c r="G387" s="53">
        <f>G388+G396</f>
        <v>12195.9</v>
      </c>
      <c r="H387" s="111"/>
      <c r="I387" s="112"/>
      <c r="J387" s="111"/>
      <c r="K387" s="76"/>
      <c r="L387" s="75"/>
      <c r="M387" s="75"/>
      <c r="AG387" s="75"/>
      <c r="AH387" s="75"/>
    </row>
    <row r="388" spans="1:115" ht="81.75" customHeight="1" x14ac:dyDescent="0.3">
      <c r="A388" s="138" t="s">
        <v>103</v>
      </c>
      <c r="B388" s="11">
        <v>912</v>
      </c>
      <c r="C388" s="12" t="s">
        <v>115</v>
      </c>
      <c r="D388" s="12" t="s">
        <v>121</v>
      </c>
      <c r="E388" s="13" t="s">
        <v>36</v>
      </c>
      <c r="F388" s="13" t="s">
        <v>50</v>
      </c>
      <c r="G388" s="53">
        <f>G389+G394+G392</f>
        <v>12135.9</v>
      </c>
      <c r="H388" s="111"/>
      <c r="I388" s="112"/>
      <c r="J388" s="111"/>
      <c r="K388" s="76"/>
      <c r="L388" s="75"/>
      <c r="M388" s="75"/>
      <c r="AG388" s="75"/>
      <c r="AH388" s="75"/>
    </row>
    <row r="389" spans="1:115" x14ac:dyDescent="0.3">
      <c r="A389" s="138" t="s">
        <v>104</v>
      </c>
      <c r="B389" s="11">
        <v>912</v>
      </c>
      <c r="C389" s="12" t="s">
        <v>115</v>
      </c>
      <c r="D389" s="12" t="s">
        <v>121</v>
      </c>
      <c r="E389" s="12" t="s">
        <v>37</v>
      </c>
      <c r="F389" s="13" t="s">
        <v>50</v>
      </c>
      <c r="G389" s="53">
        <f>G390+G391</f>
        <v>10137.1</v>
      </c>
      <c r="H389" s="111"/>
      <c r="I389" s="112"/>
      <c r="J389" s="111"/>
      <c r="K389" s="76"/>
      <c r="L389" s="75"/>
      <c r="M389" s="75"/>
      <c r="AG389" s="75"/>
      <c r="AH389" s="75"/>
    </row>
    <row r="390" spans="1:115" ht="93.75" x14ac:dyDescent="0.3">
      <c r="A390" s="138" t="s">
        <v>56</v>
      </c>
      <c r="B390" s="11">
        <v>912</v>
      </c>
      <c r="C390" s="12" t="s">
        <v>115</v>
      </c>
      <c r="D390" s="12" t="s">
        <v>121</v>
      </c>
      <c r="E390" s="13" t="s">
        <v>37</v>
      </c>
      <c r="F390" s="13" t="s">
        <v>57</v>
      </c>
      <c r="G390" s="53">
        <f>CS390+CX390</f>
        <v>9651.5</v>
      </c>
      <c r="H390" s="120">
        <v>8312</v>
      </c>
      <c r="I390" s="121"/>
      <c r="J390" s="120"/>
      <c r="K390" s="76"/>
      <c r="L390" s="75"/>
      <c r="M390" s="75"/>
      <c r="T390">
        <f>1.3+0.7</f>
        <v>2</v>
      </c>
      <c r="AG390" s="75"/>
      <c r="AH390" s="75"/>
      <c r="AK390" s="75">
        <v>7316.5</v>
      </c>
      <c r="BM390" s="95">
        <v>9758.7999999999993</v>
      </c>
      <c r="BU390" s="146">
        <v>-159</v>
      </c>
      <c r="CD390" s="218">
        <v>10</v>
      </c>
      <c r="CS390" s="255">
        <f>9917-280.5</f>
        <v>9636.5</v>
      </c>
      <c r="CX390" s="260">
        <v>15</v>
      </c>
    </row>
    <row r="391" spans="1:115" ht="37.5" x14ac:dyDescent="0.3">
      <c r="A391" s="138" t="s">
        <v>425</v>
      </c>
      <c r="B391" s="11">
        <v>912</v>
      </c>
      <c r="C391" s="12" t="s">
        <v>115</v>
      </c>
      <c r="D391" s="12" t="s">
        <v>121</v>
      </c>
      <c r="E391" s="13" t="s">
        <v>37</v>
      </c>
      <c r="F391" s="13" t="s">
        <v>59</v>
      </c>
      <c r="G391" s="53">
        <f>CS391+CX391</f>
        <v>485.6</v>
      </c>
      <c r="H391" s="120">
        <f>662.9-40</f>
        <v>622.9</v>
      </c>
      <c r="I391" s="121"/>
      <c r="J391" s="120"/>
      <c r="K391" s="76"/>
      <c r="L391" s="75"/>
      <c r="M391" s="75"/>
      <c r="T391">
        <v>-1.3</v>
      </c>
      <c r="AG391" s="75"/>
      <c r="AH391" s="75"/>
      <c r="AI391" s="75">
        <v>210</v>
      </c>
      <c r="AJ391" s="75"/>
      <c r="AK391" s="75">
        <v>441.1</v>
      </c>
      <c r="AX391" s="96">
        <v>-153.69999999999999</v>
      </c>
      <c r="BE391" s="218">
        <v>-80</v>
      </c>
      <c r="BM391" s="95">
        <f>349.1+28.6</f>
        <v>377.70000000000005</v>
      </c>
      <c r="CD391" s="218">
        <v>-10</v>
      </c>
      <c r="CP391" s="251">
        <v>-41</v>
      </c>
      <c r="CS391" s="255">
        <f>27.6+473</f>
        <v>500.6</v>
      </c>
      <c r="CX391" s="260">
        <v>-15</v>
      </c>
    </row>
    <row r="392" spans="1:115" ht="37.5" x14ac:dyDescent="0.3">
      <c r="A392" s="157" t="s">
        <v>374</v>
      </c>
      <c r="B392" s="11">
        <v>912</v>
      </c>
      <c r="C392" s="12" t="s">
        <v>115</v>
      </c>
      <c r="D392" s="12" t="s">
        <v>121</v>
      </c>
      <c r="E392" s="13" t="s">
        <v>510</v>
      </c>
      <c r="F392" s="13" t="s">
        <v>50</v>
      </c>
      <c r="G392" s="53">
        <f>G393</f>
        <v>1718.3</v>
      </c>
      <c r="H392" s="111"/>
      <c r="I392" s="112"/>
      <c r="J392" s="111"/>
      <c r="K392" s="76"/>
      <c r="L392" s="75"/>
      <c r="M392" s="75"/>
      <c r="AG392" s="75"/>
      <c r="AH392" s="75"/>
    </row>
    <row r="393" spans="1:115" ht="93.75" x14ac:dyDescent="0.3">
      <c r="A393" s="138" t="s">
        <v>56</v>
      </c>
      <c r="B393" s="11">
        <v>912</v>
      </c>
      <c r="C393" s="12" t="s">
        <v>115</v>
      </c>
      <c r="D393" s="12" t="s">
        <v>121</v>
      </c>
      <c r="E393" s="13" t="s">
        <v>510</v>
      </c>
      <c r="F393" s="13" t="s">
        <v>57</v>
      </c>
      <c r="G393" s="53">
        <f>DI393</f>
        <v>1718.3</v>
      </c>
      <c r="H393" s="111"/>
      <c r="I393" s="112"/>
      <c r="J393" s="111"/>
      <c r="K393" s="76"/>
      <c r="L393" s="75"/>
      <c r="M393" s="75"/>
      <c r="AG393" s="75">
        <v>499.1</v>
      </c>
      <c r="AH393" s="75"/>
      <c r="AK393" s="75">
        <v>0</v>
      </c>
      <c r="BK393" s="218">
        <v>218</v>
      </c>
      <c r="DI393" s="260">
        <v>1718.3</v>
      </c>
    </row>
    <row r="394" spans="1:115" ht="37.5" x14ac:dyDescent="0.3">
      <c r="A394" s="138" t="s">
        <v>180</v>
      </c>
      <c r="B394" s="11">
        <v>912</v>
      </c>
      <c r="C394" s="12" t="s">
        <v>115</v>
      </c>
      <c r="D394" s="12" t="s">
        <v>121</v>
      </c>
      <c r="E394" s="12" t="s">
        <v>181</v>
      </c>
      <c r="F394" s="12" t="s">
        <v>50</v>
      </c>
      <c r="G394" s="53">
        <f>G395</f>
        <v>280.5</v>
      </c>
      <c r="H394" s="111"/>
      <c r="I394" s="112"/>
      <c r="J394" s="111"/>
      <c r="K394" s="76"/>
      <c r="L394" s="75"/>
      <c r="M394" s="75"/>
      <c r="AG394" s="75"/>
      <c r="AH394" s="75"/>
    </row>
    <row r="395" spans="1:115" ht="93.75" x14ac:dyDescent="0.3">
      <c r="A395" s="138" t="s">
        <v>56</v>
      </c>
      <c r="B395" s="11">
        <v>912</v>
      </c>
      <c r="C395" s="12" t="s">
        <v>115</v>
      </c>
      <c r="D395" s="12" t="s">
        <v>121</v>
      </c>
      <c r="E395" s="12" t="s">
        <v>181</v>
      </c>
      <c r="F395" s="12" t="s">
        <v>57</v>
      </c>
      <c r="G395" s="53">
        <f>CS395</f>
        <v>280.5</v>
      </c>
      <c r="H395" s="111">
        <v>88.4</v>
      </c>
      <c r="I395" s="112"/>
      <c r="J395" s="111"/>
      <c r="K395" s="76"/>
      <c r="L395" s="75"/>
      <c r="M395" s="75"/>
      <c r="AG395" s="75"/>
      <c r="AH395" s="75"/>
      <c r="AK395" s="75">
        <v>70.2</v>
      </c>
      <c r="AX395" s="96">
        <v>133.9</v>
      </c>
      <c r="BM395" s="95">
        <v>106.1</v>
      </c>
      <c r="BU395" s="146">
        <v>159</v>
      </c>
      <c r="CP395" s="251">
        <v>41</v>
      </c>
      <c r="CS395" s="255">
        <v>280.5</v>
      </c>
    </row>
    <row r="396" spans="1:115" ht="37.5" x14ac:dyDescent="0.3">
      <c r="A396" s="157" t="s">
        <v>374</v>
      </c>
      <c r="B396" s="11">
        <v>912</v>
      </c>
      <c r="C396" s="12" t="s">
        <v>115</v>
      </c>
      <c r="D396" s="12" t="s">
        <v>121</v>
      </c>
      <c r="E396" s="13" t="s">
        <v>664</v>
      </c>
      <c r="F396" s="13" t="s">
        <v>50</v>
      </c>
      <c r="G396" s="53">
        <f>G397</f>
        <v>60</v>
      </c>
      <c r="H396" s="111"/>
      <c r="I396" s="112"/>
      <c r="J396" s="111"/>
      <c r="K396" s="76"/>
      <c r="L396" s="75"/>
      <c r="M396" s="75"/>
      <c r="AG396" s="75"/>
      <c r="AH396" s="75"/>
    </row>
    <row r="397" spans="1:115" ht="93.75" x14ac:dyDescent="0.3">
      <c r="A397" s="138" t="s">
        <v>56</v>
      </c>
      <c r="B397" s="11">
        <v>912</v>
      </c>
      <c r="C397" s="12" t="s">
        <v>115</v>
      </c>
      <c r="D397" s="12" t="s">
        <v>121</v>
      </c>
      <c r="E397" s="13" t="s">
        <v>664</v>
      </c>
      <c r="F397" s="13" t="s">
        <v>57</v>
      </c>
      <c r="G397" s="53">
        <f>DI397</f>
        <v>60</v>
      </c>
      <c r="H397" s="111"/>
      <c r="I397" s="112"/>
      <c r="J397" s="111"/>
      <c r="K397" s="76"/>
      <c r="L397" s="75"/>
      <c r="M397" s="75"/>
      <c r="AG397" s="75">
        <v>7.8</v>
      </c>
      <c r="AH397" s="75"/>
      <c r="AK397" s="75">
        <v>0</v>
      </c>
      <c r="BK397" s="218">
        <v>8</v>
      </c>
      <c r="DI397" s="260">
        <v>60</v>
      </c>
    </row>
    <row r="398" spans="1:115" ht="56.25" x14ac:dyDescent="0.3">
      <c r="A398" s="138" t="s">
        <v>946</v>
      </c>
      <c r="B398" s="11">
        <v>912</v>
      </c>
      <c r="C398" s="12" t="s">
        <v>115</v>
      </c>
      <c r="D398" s="12" t="s">
        <v>121</v>
      </c>
      <c r="E398" s="12" t="s">
        <v>947</v>
      </c>
      <c r="F398" s="18" t="s">
        <v>50</v>
      </c>
      <c r="G398" s="53">
        <f>G399</f>
        <v>172.51499999999999</v>
      </c>
      <c r="H398" s="111"/>
      <c r="I398" s="112"/>
      <c r="J398" s="111"/>
      <c r="K398" s="76"/>
      <c r="L398" s="75"/>
      <c r="M398" s="75"/>
      <c r="AG398" s="75"/>
      <c r="AH398" s="75"/>
    </row>
    <row r="399" spans="1:115" ht="93.75" x14ac:dyDescent="0.3">
      <c r="A399" s="138" t="s">
        <v>56</v>
      </c>
      <c r="B399" s="11">
        <v>912</v>
      </c>
      <c r="C399" s="12" t="s">
        <v>115</v>
      </c>
      <c r="D399" s="12" t="s">
        <v>121</v>
      </c>
      <c r="E399" s="12" t="s">
        <v>947</v>
      </c>
      <c r="F399" s="12" t="s">
        <v>57</v>
      </c>
      <c r="G399" s="53">
        <f>DK399</f>
        <v>172.51499999999999</v>
      </c>
      <c r="H399" s="111"/>
      <c r="I399" s="112"/>
      <c r="J399" s="111"/>
      <c r="K399" s="76"/>
      <c r="L399" s="75"/>
      <c r="M399" s="75"/>
      <c r="AG399" s="75"/>
      <c r="AH399" s="75"/>
      <c r="DK399" s="260">
        <v>172.51499999999999</v>
      </c>
    </row>
    <row r="400" spans="1:115" x14ac:dyDescent="0.3">
      <c r="A400" s="150" t="s">
        <v>182</v>
      </c>
      <c r="B400" s="10">
        <v>912</v>
      </c>
      <c r="C400" s="7" t="s">
        <v>115</v>
      </c>
      <c r="D400" s="17" t="s">
        <v>183</v>
      </c>
      <c r="E400" s="10" t="s">
        <v>49</v>
      </c>
      <c r="F400" s="7" t="s">
        <v>50</v>
      </c>
      <c r="G400" s="64">
        <f>G401</f>
        <v>100</v>
      </c>
      <c r="H400" s="111"/>
      <c r="I400" s="112"/>
      <c r="J400" s="111"/>
      <c r="K400" s="76"/>
      <c r="L400" s="75"/>
      <c r="M400" s="75"/>
      <c r="AG400" s="75"/>
      <c r="AH400" s="75"/>
    </row>
    <row r="401" spans="1:96" ht="56.25" x14ac:dyDescent="0.3">
      <c r="A401" s="200" t="s">
        <v>16</v>
      </c>
      <c r="B401" s="11">
        <v>912</v>
      </c>
      <c r="C401" s="12" t="s">
        <v>115</v>
      </c>
      <c r="D401" s="6" t="s">
        <v>183</v>
      </c>
      <c r="E401" s="13" t="s">
        <v>32</v>
      </c>
      <c r="F401" s="13" t="s">
        <v>50</v>
      </c>
      <c r="G401" s="53">
        <f>G402</f>
        <v>100</v>
      </c>
      <c r="H401" s="111"/>
      <c r="I401" s="112"/>
      <c r="J401" s="111"/>
      <c r="K401" s="76"/>
      <c r="L401" s="75"/>
      <c r="M401" s="75"/>
      <c r="AG401" s="75"/>
      <c r="AH401" s="75"/>
    </row>
    <row r="402" spans="1:96" x14ac:dyDescent="0.3">
      <c r="A402" s="138" t="s">
        <v>409</v>
      </c>
      <c r="B402" s="11">
        <v>912</v>
      </c>
      <c r="C402" s="12" t="s">
        <v>115</v>
      </c>
      <c r="D402" s="6" t="s">
        <v>183</v>
      </c>
      <c r="E402" s="13" t="s">
        <v>44</v>
      </c>
      <c r="F402" s="13" t="s">
        <v>50</v>
      </c>
      <c r="G402" s="53">
        <f>G403</f>
        <v>100</v>
      </c>
      <c r="H402" s="111"/>
      <c r="I402" s="112"/>
      <c r="J402" s="111"/>
      <c r="K402" s="76"/>
      <c r="L402" s="75"/>
      <c r="M402" s="75"/>
      <c r="AG402" s="75"/>
      <c r="AH402" s="75"/>
    </row>
    <row r="403" spans="1:96" x14ac:dyDescent="0.3">
      <c r="A403" s="138" t="s">
        <v>184</v>
      </c>
      <c r="B403" s="11">
        <v>912</v>
      </c>
      <c r="C403" s="12" t="s">
        <v>115</v>
      </c>
      <c r="D403" s="6" t="s">
        <v>183</v>
      </c>
      <c r="E403" s="13" t="s">
        <v>185</v>
      </c>
      <c r="F403" s="13" t="s">
        <v>50</v>
      </c>
      <c r="G403" s="53">
        <f>G404</f>
        <v>100</v>
      </c>
      <c r="H403" s="111"/>
      <c r="I403" s="112"/>
      <c r="J403" s="111"/>
      <c r="K403" s="76"/>
      <c r="L403" s="75"/>
      <c r="M403" s="75"/>
      <c r="AG403" s="75"/>
      <c r="AH403" s="75"/>
    </row>
    <row r="404" spans="1:96" x14ac:dyDescent="0.3">
      <c r="A404" s="138" t="s">
        <v>60</v>
      </c>
      <c r="B404" s="11">
        <v>912</v>
      </c>
      <c r="C404" s="12" t="s">
        <v>115</v>
      </c>
      <c r="D404" s="6" t="s">
        <v>183</v>
      </c>
      <c r="E404" s="13" t="s">
        <v>185</v>
      </c>
      <c r="F404" s="13" t="s">
        <v>61</v>
      </c>
      <c r="G404" s="68">
        <f>CR404</f>
        <v>100</v>
      </c>
      <c r="H404" s="111">
        <v>100</v>
      </c>
      <c r="I404" s="112"/>
      <c r="J404" s="111"/>
      <c r="K404" s="76"/>
      <c r="L404" s="75"/>
      <c r="M404" s="75"/>
      <c r="AG404" s="75"/>
      <c r="AH404" s="75"/>
      <c r="AK404" s="75">
        <v>100</v>
      </c>
      <c r="BN404" s="229">
        <v>100</v>
      </c>
      <c r="CR404" s="94">
        <v>100</v>
      </c>
    </row>
    <row r="405" spans="1:96" hidden="1" x14ac:dyDescent="0.3">
      <c r="A405" s="150" t="s">
        <v>122</v>
      </c>
      <c r="B405" s="39" t="s">
        <v>380</v>
      </c>
      <c r="C405" s="7" t="s">
        <v>123</v>
      </c>
      <c r="D405" s="7" t="s">
        <v>112</v>
      </c>
      <c r="E405" s="10" t="s">
        <v>49</v>
      </c>
      <c r="F405" s="7" t="s">
        <v>50</v>
      </c>
      <c r="G405" s="53">
        <f>G406</f>
        <v>0</v>
      </c>
      <c r="H405" s="111"/>
      <c r="I405" s="112"/>
      <c r="J405" s="111"/>
      <c r="K405" s="76"/>
      <c r="L405" s="75"/>
      <c r="M405" s="75"/>
      <c r="AG405" s="75"/>
      <c r="AH405" s="75"/>
    </row>
    <row r="406" spans="1:96" ht="37.5" hidden="1" x14ac:dyDescent="0.3">
      <c r="A406" s="203" t="s">
        <v>344</v>
      </c>
      <c r="B406" s="39" t="s">
        <v>380</v>
      </c>
      <c r="C406" s="39" t="s">
        <v>123</v>
      </c>
      <c r="D406" s="90" t="s">
        <v>209</v>
      </c>
      <c r="E406" s="70" t="s">
        <v>49</v>
      </c>
      <c r="F406" s="39" t="s">
        <v>50</v>
      </c>
      <c r="G406" s="53">
        <f>G407</f>
        <v>0</v>
      </c>
      <c r="H406" s="111"/>
      <c r="I406" s="112"/>
      <c r="J406" s="111"/>
      <c r="K406" s="76"/>
      <c r="L406" s="75"/>
      <c r="M406" s="75"/>
      <c r="AG406" s="75"/>
      <c r="AH406" s="75"/>
    </row>
    <row r="407" spans="1:96" ht="56.25" hidden="1" x14ac:dyDescent="0.3">
      <c r="A407" s="200" t="s">
        <v>16</v>
      </c>
      <c r="B407" s="11">
        <v>912</v>
      </c>
      <c r="C407" s="42" t="s">
        <v>123</v>
      </c>
      <c r="D407" s="87" t="s">
        <v>209</v>
      </c>
      <c r="E407" s="13" t="s">
        <v>32</v>
      </c>
      <c r="F407" s="13" t="s">
        <v>50</v>
      </c>
      <c r="G407" s="53">
        <f>G411+G408</f>
        <v>0</v>
      </c>
      <c r="H407" s="111"/>
      <c r="I407" s="112"/>
      <c r="J407" s="111"/>
      <c r="K407" s="76"/>
      <c r="L407" s="75"/>
      <c r="M407" s="75"/>
      <c r="AG407" s="75"/>
      <c r="AH407" s="75"/>
    </row>
    <row r="408" spans="1:96" ht="43.5" hidden="1" customHeight="1" x14ac:dyDescent="0.3">
      <c r="A408" s="157" t="s">
        <v>17</v>
      </c>
      <c r="B408" s="11">
        <v>912</v>
      </c>
      <c r="C408" s="42" t="s">
        <v>123</v>
      </c>
      <c r="D408" s="107" t="s">
        <v>209</v>
      </c>
      <c r="E408" s="13" t="s">
        <v>33</v>
      </c>
      <c r="F408" s="13" t="s">
        <v>50</v>
      </c>
      <c r="G408" s="53">
        <f>G409</f>
        <v>0</v>
      </c>
      <c r="H408" s="111"/>
      <c r="I408" s="112"/>
      <c r="J408" s="111"/>
      <c r="K408" s="76"/>
      <c r="L408" s="75"/>
      <c r="M408" s="75"/>
      <c r="AG408" s="75"/>
      <c r="AH408" s="75"/>
    </row>
    <row r="409" spans="1:96" ht="37.5" hidden="1" x14ac:dyDescent="0.3">
      <c r="A409" s="157" t="s">
        <v>609</v>
      </c>
      <c r="B409" s="11">
        <v>912</v>
      </c>
      <c r="C409" s="42" t="s">
        <v>123</v>
      </c>
      <c r="D409" s="107" t="s">
        <v>209</v>
      </c>
      <c r="E409" s="13" t="s">
        <v>652</v>
      </c>
      <c r="F409" s="13" t="s">
        <v>50</v>
      </c>
      <c r="G409" s="53">
        <f>G410</f>
        <v>0</v>
      </c>
      <c r="H409" s="111"/>
      <c r="I409" s="112"/>
      <c r="J409" s="111"/>
      <c r="K409" s="76"/>
      <c r="L409" s="75"/>
      <c r="M409" s="75"/>
      <c r="AG409" s="75"/>
      <c r="AH409" s="75"/>
    </row>
    <row r="410" spans="1:96" ht="37.5" hidden="1" x14ac:dyDescent="0.3">
      <c r="A410" s="138" t="s">
        <v>425</v>
      </c>
      <c r="B410" s="11">
        <v>912</v>
      </c>
      <c r="C410" s="42" t="s">
        <v>123</v>
      </c>
      <c r="D410" s="107" t="s">
        <v>209</v>
      </c>
      <c r="E410" s="13" t="s">
        <v>652</v>
      </c>
      <c r="F410" s="13" t="s">
        <v>59</v>
      </c>
      <c r="G410" s="53">
        <v>0</v>
      </c>
      <c r="H410" s="111"/>
      <c r="I410" s="112"/>
      <c r="J410" s="111"/>
      <c r="K410" s="76"/>
      <c r="L410" s="75"/>
      <c r="M410" s="75"/>
      <c r="AG410" s="75"/>
      <c r="AH410" s="75"/>
      <c r="AK410" s="75">
        <v>0</v>
      </c>
    </row>
    <row r="411" spans="1:96" ht="44.25" hidden="1" customHeight="1" x14ac:dyDescent="0.3">
      <c r="A411" s="157" t="s">
        <v>18</v>
      </c>
      <c r="B411" s="11">
        <v>912</v>
      </c>
      <c r="C411" s="42" t="s">
        <v>123</v>
      </c>
      <c r="D411" s="87" t="s">
        <v>209</v>
      </c>
      <c r="E411" s="13" t="s">
        <v>34</v>
      </c>
      <c r="F411" s="13" t="s">
        <v>50</v>
      </c>
      <c r="G411" s="68">
        <f>G414+G417+G412</f>
        <v>0</v>
      </c>
      <c r="H411" s="111"/>
      <c r="I411" s="112"/>
      <c r="J411" s="111"/>
      <c r="K411" s="76"/>
      <c r="L411" s="75"/>
      <c r="M411" s="75"/>
      <c r="AG411" s="75"/>
      <c r="AH411" s="75"/>
    </row>
    <row r="412" spans="1:96" ht="44.25" hidden="1" customHeight="1" x14ac:dyDescent="0.3">
      <c r="A412" s="157" t="s">
        <v>609</v>
      </c>
      <c r="B412" s="11">
        <v>912</v>
      </c>
      <c r="C412" s="42" t="s">
        <v>123</v>
      </c>
      <c r="D412" s="102" t="s">
        <v>209</v>
      </c>
      <c r="E412" s="13" t="s">
        <v>434</v>
      </c>
      <c r="F412" s="13" t="s">
        <v>50</v>
      </c>
      <c r="G412" s="68">
        <f>G413</f>
        <v>0</v>
      </c>
      <c r="H412" s="111"/>
      <c r="I412" s="112"/>
      <c r="J412" s="111"/>
      <c r="K412" s="76"/>
      <c r="L412" s="75"/>
      <c r="M412" s="75"/>
      <c r="AG412" s="75"/>
      <c r="AH412" s="75"/>
    </row>
    <row r="413" spans="1:96" ht="42" hidden="1" customHeight="1" x14ac:dyDescent="0.3">
      <c r="A413" s="138" t="s">
        <v>425</v>
      </c>
      <c r="B413" s="11">
        <v>912</v>
      </c>
      <c r="C413" s="42" t="s">
        <v>123</v>
      </c>
      <c r="D413" s="102" t="s">
        <v>209</v>
      </c>
      <c r="E413" s="13" t="s">
        <v>434</v>
      </c>
      <c r="F413" s="13" t="s">
        <v>59</v>
      </c>
      <c r="G413" s="68">
        <f>H413+AX413+BE413</f>
        <v>0</v>
      </c>
      <c r="H413" s="111">
        <v>40</v>
      </c>
      <c r="I413" s="112"/>
      <c r="J413" s="111"/>
      <c r="K413" s="76"/>
      <c r="L413" s="75"/>
      <c r="M413" s="75"/>
      <c r="U413">
        <v>50</v>
      </c>
      <c r="AG413" s="75"/>
      <c r="AH413" s="75"/>
      <c r="AK413" s="75">
        <v>0</v>
      </c>
      <c r="AX413" s="96">
        <v>-20</v>
      </c>
      <c r="BE413" s="218">
        <v>-20</v>
      </c>
    </row>
    <row r="414" spans="1:96" ht="75" hidden="1" x14ac:dyDescent="0.3">
      <c r="A414" s="138" t="s">
        <v>249</v>
      </c>
      <c r="B414" s="42" t="s">
        <v>380</v>
      </c>
      <c r="C414" s="42" t="s">
        <v>123</v>
      </c>
      <c r="D414" s="87" t="s">
        <v>209</v>
      </c>
      <c r="E414" s="87" t="s">
        <v>381</v>
      </c>
      <c r="F414" s="42" t="s">
        <v>50</v>
      </c>
      <c r="G414" s="53">
        <f>G415</f>
        <v>0</v>
      </c>
      <c r="H414" s="111"/>
      <c r="I414" s="112"/>
      <c r="J414" s="111"/>
      <c r="K414" s="76"/>
      <c r="L414" s="75"/>
      <c r="M414" s="75"/>
      <c r="AG414" s="75"/>
      <c r="AH414" s="75"/>
    </row>
    <row r="415" spans="1:96" ht="75" hidden="1" x14ac:dyDescent="0.3">
      <c r="A415" s="138" t="s">
        <v>441</v>
      </c>
      <c r="B415" s="42" t="s">
        <v>380</v>
      </c>
      <c r="C415" s="42" t="s">
        <v>123</v>
      </c>
      <c r="D415" s="87" t="s">
        <v>209</v>
      </c>
      <c r="E415" s="87" t="s">
        <v>382</v>
      </c>
      <c r="F415" s="42" t="s">
        <v>50</v>
      </c>
      <c r="G415" s="53">
        <f>G416</f>
        <v>0</v>
      </c>
      <c r="H415" s="111"/>
      <c r="I415" s="112"/>
      <c r="J415" s="111"/>
      <c r="K415" s="76"/>
      <c r="L415" s="75"/>
      <c r="M415" s="75"/>
      <c r="AG415" s="75"/>
      <c r="AH415" s="75"/>
    </row>
    <row r="416" spans="1:96" ht="37.5" hidden="1" x14ac:dyDescent="0.3">
      <c r="A416" s="138" t="s">
        <v>425</v>
      </c>
      <c r="B416" s="42" t="s">
        <v>380</v>
      </c>
      <c r="C416" s="42" t="s">
        <v>123</v>
      </c>
      <c r="D416" s="87" t="s">
        <v>209</v>
      </c>
      <c r="E416" s="87" t="s">
        <v>382</v>
      </c>
      <c r="F416" s="13" t="s">
        <v>59</v>
      </c>
      <c r="G416" s="53">
        <v>0</v>
      </c>
      <c r="H416" s="111"/>
      <c r="I416" s="112"/>
      <c r="J416" s="111"/>
      <c r="K416" s="76"/>
      <c r="L416" s="75"/>
      <c r="M416" s="75"/>
      <c r="T416">
        <v>0.03</v>
      </c>
      <c r="AG416" s="75"/>
      <c r="AH416" s="75"/>
      <c r="AK416" s="75">
        <v>0</v>
      </c>
    </row>
    <row r="417" spans="1:57" ht="93.75" hidden="1" x14ac:dyDescent="0.3">
      <c r="A417" s="138" t="s">
        <v>440</v>
      </c>
      <c r="B417" s="42" t="s">
        <v>380</v>
      </c>
      <c r="C417" s="42" t="s">
        <v>123</v>
      </c>
      <c r="D417" s="87" t="s">
        <v>209</v>
      </c>
      <c r="E417" s="87" t="s">
        <v>383</v>
      </c>
      <c r="F417" s="13" t="s">
        <v>50</v>
      </c>
      <c r="G417" s="53">
        <f>G418</f>
        <v>0</v>
      </c>
      <c r="H417" s="111"/>
      <c r="I417" s="112"/>
      <c r="J417" s="111"/>
      <c r="K417" s="76"/>
      <c r="L417" s="75"/>
      <c r="M417" s="75"/>
      <c r="AG417" s="75"/>
      <c r="AH417" s="75"/>
    </row>
    <row r="418" spans="1:57" ht="37.5" hidden="1" x14ac:dyDescent="0.3">
      <c r="A418" s="138" t="s">
        <v>425</v>
      </c>
      <c r="B418" s="42" t="s">
        <v>380</v>
      </c>
      <c r="C418" s="42" t="s">
        <v>123</v>
      </c>
      <c r="D418" s="87" t="s">
        <v>209</v>
      </c>
      <c r="E418" s="87" t="s">
        <v>383</v>
      </c>
      <c r="F418" s="13" t="s">
        <v>59</v>
      </c>
      <c r="G418" s="53">
        <v>0</v>
      </c>
      <c r="H418" s="111"/>
      <c r="I418" s="112"/>
      <c r="J418" s="111"/>
      <c r="K418" s="76"/>
      <c r="L418" s="75"/>
      <c r="M418" s="75"/>
      <c r="T418">
        <v>-0.03</v>
      </c>
      <c r="AG418" s="75"/>
      <c r="AH418" s="75"/>
      <c r="AK418" s="75">
        <v>0</v>
      </c>
    </row>
    <row r="419" spans="1:57" hidden="1" outlineLevel="1" x14ac:dyDescent="0.3">
      <c r="A419" s="150" t="s">
        <v>166</v>
      </c>
      <c r="B419" s="10">
        <v>912</v>
      </c>
      <c r="C419" s="17">
        <v>10</v>
      </c>
      <c r="D419" s="17" t="s">
        <v>112</v>
      </c>
      <c r="E419" s="10" t="s">
        <v>49</v>
      </c>
      <c r="F419" s="7" t="s">
        <v>50</v>
      </c>
      <c r="G419" s="64">
        <f t="shared" ref="G419:G423" si="0">G420</f>
        <v>0</v>
      </c>
      <c r="H419" s="111"/>
      <c r="I419" s="112"/>
      <c r="J419" s="111"/>
      <c r="K419" s="76"/>
      <c r="L419" s="75"/>
      <c r="M419" s="75"/>
      <c r="AG419" s="75"/>
      <c r="AH419" s="75"/>
    </row>
    <row r="420" spans="1:57" hidden="1" outlineLevel="1" x14ac:dyDescent="0.3">
      <c r="A420" s="150" t="s">
        <v>171</v>
      </c>
      <c r="B420" s="10">
        <v>912</v>
      </c>
      <c r="C420" s="17">
        <v>10</v>
      </c>
      <c r="D420" s="17" t="s">
        <v>121</v>
      </c>
      <c r="E420" s="10" t="s">
        <v>49</v>
      </c>
      <c r="F420" s="7" t="s">
        <v>50</v>
      </c>
      <c r="G420" s="64">
        <f t="shared" si="0"/>
        <v>0</v>
      </c>
      <c r="H420" s="111"/>
      <c r="I420" s="112"/>
      <c r="J420" s="111"/>
      <c r="K420" s="76"/>
      <c r="L420" s="75"/>
      <c r="M420" s="75"/>
      <c r="AG420" s="75"/>
      <c r="AH420" s="75"/>
    </row>
    <row r="421" spans="1:57" ht="56.25" hidden="1" outlineLevel="1" x14ac:dyDescent="0.3">
      <c r="A421" s="200" t="s">
        <v>16</v>
      </c>
      <c r="B421" s="11">
        <v>912</v>
      </c>
      <c r="C421" s="6">
        <v>10</v>
      </c>
      <c r="D421" s="6" t="s">
        <v>121</v>
      </c>
      <c r="E421" s="13" t="s">
        <v>32</v>
      </c>
      <c r="F421" s="13" t="s">
        <v>50</v>
      </c>
      <c r="G421" s="53">
        <f t="shared" si="0"/>
        <v>0</v>
      </c>
      <c r="H421" s="111"/>
      <c r="I421" s="112"/>
      <c r="J421" s="111"/>
      <c r="K421" s="76"/>
      <c r="L421" s="75"/>
      <c r="M421" s="75"/>
      <c r="AG421" s="75"/>
      <c r="AH421" s="75"/>
    </row>
    <row r="422" spans="1:57" ht="39" hidden="1" customHeight="1" outlineLevel="1" x14ac:dyDescent="0.3">
      <c r="A422" s="157" t="s">
        <v>18</v>
      </c>
      <c r="B422" s="11">
        <v>912</v>
      </c>
      <c r="C422" s="6">
        <v>10</v>
      </c>
      <c r="D422" s="6" t="s">
        <v>121</v>
      </c>
      <c r="E422" s="13" t="s">
        <v>34</v>
      </c>
      <c r="F422" s="13" t="s">
        <v>50</v>
      </c>
      <c r="G422" s="53">
        <f t="shared" si="0"/>
        <v>0</v>
      </c>
      <c r="H422" s="111"/>
      <c r="I422" s="112"/>
      <c r="J422" s="111"/>
      <c r="K422" s="76"/>
      <c r="L422" s="75"/>
      <c r="M422" s="75"/>
      <c r="AG422" s="75"/>
      <c r="AH422" s="75"/>
    </row>
    <row r="423" spans="1:57" ht="78" hidden="1" customHeight="1" outlineLevel="1" x14ac:dyDescent="0.3">
      <c r="A423" s="138" t="s">
        <v>103</v>
      </c>
      <c r="B423" s="11">
        <v>912</v>
      </c>
      <c r="C423" s="6">
        <v>10</v>
      </c>
      <c r="D423" s="6" t="s">
        <v>121</v>
      </c>
      <c r="E423" s="13" t="s">
        <v>36</v>
      </c>
      <c r="F423" s="13" t="s">
        <v>50</v>
      </c>
      <c r="G423" s="53">
        <f t="shared" si="0"/>
        <v>0</v>
      </c>
      <c r="H423" s="111"/>
      <c r="I423" s="112"/>
      <c r="J423" s="111"/>
      <c r="K423" s="76"/>
      <c r="L423" s="75"/>
      <c r="M423" s="75"/>
      <c r="AG423" s="75"/>
      <c r="AH423" s="75"/>
    </row>
    <row r="424" spans="1:57" hidden="1" outlineLevel="1" x14ac:dyDescent="0.3">
      <c r="A424" s="138" t="s">
        <v>104</v>
      </c>
      <c r="B424" s="11">
        <v>912</v>
      </c>
      <c r="C424" s="6">
        <v>10</v>
      </c>
      <c r="D424" s="6" t="s">
        <v>121</v>
      </c>
      <c r="E424" s="12" t="s">
        <v>37</v>
      </c>
      <c r="F424" s="13" t="s">
        <v>50</v>
      </c>
      <c r="G424" s="53">
        <f>G425</f>
        <v>0</v>
      </c>
      <c r="H424" s="111"/>
      <c r="I424" s="112"/>
      <c r="J424" s="111"/>
      <c r="K424" s="76"/>
      <c r="L424" s="75"/>
      <c r="M424" s="75"/>
      <c r="AG424" s="75"/>
      <c r="AH424" s="75"/>
    </row>
    <row r="425" spans="1:57" ht="93.75" hidden="1" outlineLevel="1" x14ac:dyDescent="0.3">
      <c r="A425" s="138" t="s">
        <v>56</v>
      </c>
      <c r="B425" s="11">
        <v>912</v>
      </c>
      <c r="C425" s="6">
        <v>10</v>
      </c>
      <c r="D425" s="6" t="s">
        <v>121</v>
      </c>
      <c r="E425" s="12" t="s">
        <v>37</v>
      </c>
      <c r="F425" s="13" t="s">
        <v>57</v>
      </c>
      <c r="G425" s="53">
        <f>0.7+T425</f>
        <v>0</v>
      </c>
      <c r="H425" s="111"/>
      <c r="I425" s="112"/>
      <c r="J425" s="111"/>
      <c r="K425" s="76"/>
      <c r="L425" s="75"/>
      <c r="M425" s="75"/>
      <c r="T425">
        <v>-0.7</v>
      </c>
      <c r="AG425" s="75"/>
      <c r="AH425" s="75"/>
    </row>
    <row r="426" spans="1:57" ht="37.5" hidden="1" collapsed="1" x14ac:dyDescent="0.3">
      <c r="A426" s="150" t="s">
        <v>186</v>
      </c>
      <c r="B426" s="10">
        <v>912</v>
      </c>
      <c r="C426" s="7">
        <v>13</v>
      </c>
      <c r="D426" s="7" t="s">
        <v>112</v>
      </c>
      <c r="E426" s="7" t="s">
        <v>49</v>
      </c>
      <c r="F426" s="7" t="s">
        <v>50</v>
      </c>
      <c r="G426" s="64">
        <f>G427</f>
        <v>0</v>
      </c>
      <c r="H426" s="111"/>
      <c r="I426" s="112"/>
      <c r="J426" s="111"/>
      <c r="K426" s="76"/>
      <c r="L426" s="75"/>
      <c r="M426" s="75"/>
      <c r="AG426" s="75"/>
      <c r="AH426" s="75"/>
    </row>
    <row r="427" spans="1:57" ht="37.5" hidden="1" x14ac:dyDescent="0.3">
      <c r="A427" s="150" t="s">
        <v>187</v>
      </c>
      <c r="B427" s="10">
        <v>912</v>
      </c>
      <c r="C427" s="20">
        <v>13</v>
      </c>
      <c r="D427" s="7" t="s">
        <v>115</v>
      </c>
      <c r="E427" s="20" t="s">
        <v>49</v>
      </c>
      <c r="F427" s="7" t="s">
        <v>50</v>
      </c>
      <c r="G427" s="64">
        <f>G428</f>
        <v>0</v>
      </c>
      <c r="H427" s="111"/>
      <c r="I427" s="112"/>
      <c r="J427" s="111"/>
      <c r="K427" s="76"/>
      <c r="L427" s="75"/>
      <c r="M427" s="75"/>
      <c r="AG427" s="75"/>
      <c r="AH427" s="75"/>
    </row>
    <row r="428" spans="1:57" ht="56.25" hidden="1" x14ac:dyDescent="0.3">
      <c r="A428" s="200" t="s">
        <v>16</v>
      </c>
      <c r="B428" s="11">
        <v>912</v>
      </c>
      <c r="C428" s="21">
        <v>13</v>
      </c>
      <c r="D428" s="12" t="s">
        <v>115</v>
      </c>
      <c r="E428" s="13" t="s">
        <v>32</v>
      </c>
      <c r="F428" s="12" t="s">
        <v>50</v>
      </c>
      <c r="G428" s="53">
        <f>G429</f>
        <v>0</v>
      </c>
      <c r="H428" s="111"/>
      <c r="I428" s="112"/>
      <c r="J428" s="111"/>
      <c r="K428" s="76"/>
      <c r="L428" s="75"/>
      <c r="M428" s="75"/>
      <c r="AG428" s="75"/>
      <c r="AH428" s="75"/>
    </row>
    <row r="429" spans="1:57" hidden="1" x14ac:dyDescent="0.3">
      <c r="A429" s="138" t="s">
        <v>409</v>
      </c>
      <c r="B429" s="11">
        <v>912</v>
      </c>
      <c r="C429" s="21">
        <v>13</v>
      </c>
      <c r="D429" s="12" t="s">
        <v>115</v>
      </c>
      <c r="E429" s="13" t="s">
        <v>44</v>
      </c>
      <c r="F429" s="12" t="s">
        <v>50</v>
      </c>
      <c r="G429" s="53">
        <f>G430</f>
        <v>0</v>
      </c>
      <c r="H429" s="111"/>
      <c r="I429" s="112"/>
      <c r="J429" s="111"/>
      <c r="K429" s="76"/>
      <c r="L429" s="75"/>
      <c r="M429" s="75"/>
      <c r="AG429" s="75"/>
      <c r="AH429" s="75"/>
    </row>
    <row r="430" spans="1:57" hidden="1" x14ac:dyDescent="0.3">
      <c r="A430" s="138" t="s">
        <v>188</v>
      </c>
      <c r="B430" s="11">
        <v>912</v>
      </c>
      <c r="C430" s="12" t="s">
        <v>189</v>
      </c>
      <c r="D430" s="6" t="s">
        <v>115</v>
      </c>
      <c r="E430" s="12" t="s">
        <v>192</v>
      </c>
      <c r="F430" s="12" t="s">
        <v>50</v>
      </c>
      <c r="G430" s="53">
        <f>G431</f>
        <v>0</v>
      </c>
      <c r="H430" s="111"/>
      <c r="I430" s="112"/>
      <c r="J430" s="111"/>
      <c r="K430" s="76"/>
      <c r="L430" s="75"/>
      <c r="M430" s="75"/>
      <c r="AG430" s="75"/>
      <c r="AH430" s="75"/>
    </row>
    <row r="431" spans="1:57" ht="37.5" hidden="1" x14ac:dyDescent="0.3">
      <c r="A431" s="138" t="s">
        <v>190</v>
      </c>
      <c r="B431" s="11">
        <v>912</v>
      </c>
      <c r="C431" s="12" t="s">
        <v>189</v>
      </c>
      <c r="D431" s="6" t="s">
        <v>115</v>
      </c>
      <c r="E431" s="12" t="s">
        <v>192</v>
      </c>
      <c r="F431" s="12" t="s">
        <v>191</v>
      </c>
      <c r="G431" s="68">
        <v>0</v>
      </c>
      <c r="H431" s="111">
        <v>3433.6</v>
      </c>
      <c r="I431" s="112"/>
      <c r="J431" s="111"/>
      <c r="K431" s="76"/>
      <c r="L431" s="75"/>
      <c r="M431" s="75">
        <v>1100</v>
      </c>
      <c r="AG431" s="75"/>
      <c r="AH431" s="75">
        <v>-1700</v>
      </c>
      <c r="AI431">
        <v>-300</v>
      </c>
      <c r="AK431" s="75">
        <v>13748</v>
      </c>
      <c r="AX431" s="96">
        <v>-1515.9</v>
      </c>
      <c r="BD431" s="218">
        <v>-196.17948999999999</v>
      </c>
      <c r="BE431" s="218">
        <v>-195.9</v>
      </c>
    </row>
    <row r="432" spans="1:57" ht="46.5" customHeight="1" x14ac:dyDescent="0.3">
      <c r="A432" s="198" t="s">
        <v>193</v>
      </c>
      <c r="B432" s="8">
        <v>918</v>
      </c>
      <c r="C432" s="9" t="s">
        <v>112</v>
      </c>
      <c r="D432" s="9" t="s">
        <v>112</v>
      </c>
      <c r="E432" s="9" t="s">
        <v>49</v>
      </c>
      <c r="F432" s="9" t="s">
        <v>50</v>
      </c>
      <c r="G432" s="67">
        <f>G440+Z476+G433</f>
        <v>17802.7</v>
      </c>
      <c r="H432" s="111"/>
      <c r="I432" s="112"/>
      <c r="J432" s="111"/>
      <c r="K432" s="76"/>
      <c r="L432" s="75"/>
      <c r="M432" s="75"/>
      <c r="AG432" s="75"/>
      <c r="AH432" s="75"/>
    </row>
    <row r="433" spans="1:110" ht="34.5" hidden="1" customHeight="1" x14ac:dyDescent="0.3">
      <c r="A433" s="150" t="s">
        <v>122</v>
      </c>
      <c r="B433" s="10">
        <v>918</v>
      </c>
      <c r="C433" s="17" t="s">
        <v>123</v>
      </c>
      <c r="D433" s="17" t="s">
        <v>112</v>
      </c>
      <c r="E433" s="10" t="s">
        <v>49</v>
      </c>
      <c r="F433" s="7" t="s">
        <v>50</v>
      </c>
      <c r="G433" s="64">
        <f>G434</f>
        <v>0</v>
      </c>
      <c r="H433" s="239"/>
      <c r="I433" s="239"/>
      <c r="J433" s="239"/>
      <c r="K433" s="240"/>
      <c r="L433" s="110"/>
      <c r="M433" s="110"/>
      <c r="N433" s="186"/>
      <c r="O433" s="186"/>
      <c r="P433" s="186"/>
      <c r="Q433" s="186"/>
      <c r="R433" s="186"/>
      <c r="S433" s="186"/>
      <c r="T433" s="186"/>
      <c r="U433" s="186"/>
      <c r="V433" s="186"/>
      <c r="W433" s="186"/>
      <c r="X433" s="186"/>
      <c r="Y433" s="186"/>
      <c r="Z433" s="186"/>
      <c r="AA433" s="186"/>
      <c r="AB433" s="186"/>
      <c r="AC433" s="186"/>
      <c r="AD433" s="186"/>
      <c r="AE433" s="186"/>
      <c r="AF433" s="186"/>
      <c r="AG433" s="110"/>
      <c r="AH433" s="110"/>
      <c r="AI433" s="186"/>
      <c r="AJ433" s="186"/>
      <c r="AK433" s="110"/>
      <c r="AL433" s="186"/>
      <c r="AM433" s="186"/>
      <c r="AN433" s="241"/>
      <c r="AO433" s="241"/>
      <c r="AP433" s="242"/>
      <c r="AQ433" s="242"/>
      <c r="AR433" s="243"/>
      <c r="AS433" s="243"/>
      <c r="AT433" s="243"/>
      <c r="AU433" s="186"/>
      <c r="AV433" s="243"/>
      <c r="AW433" s="244"/>
      <c r="AX433" s="244"/>
      <c r="AY433" s="245"/>
      <c r="AZ433" s="245"/>
      <c r="BA433" s="243"/>
      <c r="BB433" s="243"/>
      <c r="BC433" s="245"/>
      <c r="BD433" s="245"/>
      <c r="BE433" s="245"/>
      <c r="BF433" s="186"/>
      <c r="BG433" s="246"/>
      <c r="BH433" s="246"/>
      <c r="BI433" s="246"/>
      <c r="BJ433" s="243"/>
      <c r="BK433" s="245"/>
      <c r="BL433" s="243"/>
      <c r="BM433" s="234"/>
      <c r="BN433" s="234"/>
      <c r="BO433" s="234"/>
      <c r="BP433" s="234"/>
      <c r="BQ433" s="186"/>
      <c r="BR433" s="186"/>
      <c r="BS433" s="186"/>
      <c r="BT433" s="242"/>
      <c r="BU433" s="242"/>
      <c r="BV433" s="186"/>
      <c r="BW433" s="186"/>
      <c r="BX433" s="242"/>
      <c r="BY433" s="242"/>
      <c r="BZ433" s="186"/>
      <c r="CA433" s="245"/>
      <c r="CB433" s="245"/>
      <c r="CC433" s="247"/>
    </row>
    <row r="434" spans="1:110" ht="33.75" hidden="1" customHeight="1" x14ac:dyDescent="0.3">
      <c r="A434" s="150" t="s">
        <v>147</v>
      </c>
      <c r="B434" s="10">
        <v>918</v>
      </c>
      <c r="C434" s="17" t="s">
        <v>123</v>
      </c>
      <c r="D434" s="17" t="s">
        <v>123</v>
      </c>
      <c r="E434" s="10" t="s">
        <v>49</v>
      </c>
      <c r="F434" s="7" t="s">
        <v>50</v>
      </c>
      <c r="G434" s="64">
        <f>G435</f>
        <v>0</v>
      </c>
      <c r="H434" s="239"/>
      <c r="I434" s="239"/>
      <c r="J434" s="239"/>
      <c r="K434" s="240"/>
      <c r="L434" s="110"/>
      <c r="M434" s="110"/>
      <c r="N434" s="186"/>
      <c r="O434" s="186"/>
      <c r="P434" s="186"/>
      <c r="Q434" s="186"/>
      <c r="R434" s="186"/>
      <c r="S434" s="186"/>
      <c r="T434" s="186"/>
      <c r="U434" s="186"/>
      <c r="V434" s="186"/>
      <c r="W434" s="186"/>
      <c r="X434" s="186"/>
      <c r="Y434" s="186"/>
      <c r="Z434" s="186"/>
      <c r="AA434" s="186"/>
      <c r="AB434" s="186"/>
      <c r="AC434" s="186"/>
      <c r="AD434" s="186"/>
      <c r="AE434" s="186"/>
      <c r="AF434" s="186"/>
      <c r="AG434" s="110"/>
      <c r="AH434" s="110"/>
      <c r="AI434" s="186"/>
      <c r="AJ434" s="186"/>
      <c r="AK434" s="110"/>
      <c r="AL434" s="186"/>
      <c r="AM434" s="186"/>
      <c r="AN434" s="241"/>
      <c r="AO434" s="241"/>
      <c r="AP434" s="242"/>
      <c r="AQ434" s="242"/>
      <c r="AR434" s="243"/>
      <c r="AS434" s="243"/>
      <c r="AT434" s="243"/>
      <c r="AU434" s="186"/>
      <c r="AV434" s="243"/>
      <c r="AW434" s="244"/>
      <c r="AX434" s="244"/>
      <c r="AY434" s="245"/>
      <c r="AZ434" s="245"/>
      <c r="BA434" s="243"/>
      <c r="BB434" s="243"/>
      <c r="BC434" s="245"/>
      <c r="BD434" s="245"/>
      <c r="BE434" s="245"/>
      <c r="BF434" s="186"/>
      <c r="BG434" s="246"/>
      <c r="BH434" s="246"/>
      <c r="BI434" s="246"/>
      <c r="BJ434" s="243"/>
      <c r="BK434" s="245"/>
      <c r="BL434" s="243"/>
      <c r="BM434" s="234"/>
      <c r="BN434" s="234"/>
      <c r="BO434" s="234"/>
      <c r="BP434" s="234"/>
      <c r="BQ434" s="186"/>
      <c r="BR434" s="186"/>
      <c r="BS434" s="186"/>
      <c r="BT434" s="242"/>
      <c r="BU434" s="242"/>
      <c r="BV434" s="186"/>
      <c r="BW434" s="186"/>
      <c r="BX434" s="242"/>
      <c r="BY434" s="242"/>
      <c r="BZ434" s="186"/>
      <c r="CA434" s="245"/>
      <c r="CB434" s="245"/>
      <c r="CC434" s="247"/>
    </row>
    <row r="435" spans="1:110" ht="46.5" hidden="1" customHeight="1" x14ac:dyDescent="0.3">
      <c r="A435" s="138" t="s">
        <v>38</v>
      </c>
      <c r="B435" s="10">
        <v>918</v>
      </c>
      <c r="C435" s="17" t="s">
        <v>123</v>
      </c>
      <c r="D435" s="17" t="s">
        <v>123</v>
      </c>
      <c r="E435" s="238" t="s">
        <v>400</v>
      </c>
      <c r="F435" s="7" t="s">
        <v>50</v>
      </c>
      <c r="G435" s="64">
        <f>G436+G438</f>
        <v>0</v>
      </c>
      <c r="H435" s="239"/>
      <c r="I435" s="239"/>
      <c r="J435" s="239"/>
      <c r="K435" s="240"/>
      <c r="L435" s="110"/>
      <c r="M435" s="110"/>
      <c r="N435" s="186"/>
      <c r="O435" s="186"/>
      <c r="P435" s="186"/>
      <c r="Q435" s="186"/>
      <c r="R435" s="186"/>
      <c r="S435" s="186"/>
      <c r="T435" s="186"/>
      <c r="U435" s="186"/>
      <c r="V435" s="186"/>
      <c r="W435" s="186"/>
      <c r="X435" s="186"/>
      <c r="Y435" s="186"/>
      <c r="Z435" s="186"/>
      <c r="AA435" s="186"/>
      <c r="AB435" s="186"/>
      <c r="AC435" s="186"/>
      <c r="AD435" s="186"/>
      <c r="AE435" s="186"/>
      <c r="AF435" s="186"/>
      <c r="AG435" s="110"/>
      <c r="AH435" s="110"/>
      <c r="AI435" s="186"/>
      <c r="AJ435" s="186"/>
      <c r="AK435" s="110"/>
      <c r="AL435" s="186"/>
      <c r="AM435" s="186"/>
      <c r="AN435" s="241"/>
      <c r="AO435" s="241"/>
      <c r="AP435" s="242"/>
      <c r="AQ435" s="242"/>
      <c r="AR435" s="243"/>
      <c r="AS435" s="243"/>
      <c r="AT435" s="243"/>
      <c r="AU435" s="186"/>
      <c r="AV435" s="243"/>
      <c r="AW435" s="244"/>
      <c r="AX435" s="244"/>
      <c r="AY435" s="245"/>
      <c r="AZ435" s="245"/>
      <c r="BA435" s="243"/>
      <c r="BB435" s="243"/>
      <c r="BC435" s="245"/>
      <c r="BD435" s="245"/>
      <c r="BE435" s="245"/>
      <c r="BF435" s="186"/>
      <c r="BG435" s="246"/>
      <c r="BH435" s="246"/>
      <c r="BI435" s="246"/>
      <c r="BJ435" s="243"/>
      <c r="BK435" s="245"/>
      <c r="BL435" s="243"/>
      <c r="BM435" s="234"/>
      <c r="BN435" s="234"/>
      <c r="BO435" s="234"/>
      <c r="BP435" s="234"/>
      <c r="BQ435" s="186"/>
      <c r="BR435" s="186"/>
      <c r="BS435" s="186"/>
      <c r="BT435" s="242"/>
      <c r="BU435" s="242"/>
      <c r="BV435" s="186"/>
      <c r="BW435" s="186"/>
      <c r="BX435" s="242"/>
      <c r="BY435" s="242"/>
      <c r="BZ435" s="186"/>
      <c r="CA435" s="245"/>
      <c r="CB435" s="245"/>
      <c r="CC435" s="247"/>
    </row>
    <row r="436" spans="1:110" ht="28.5" hidden="1" customHeight="1" x14ac:dyDescent="0.3">
      <c r="A436" s="224" t="s">
        <v>921</v>
      </c>
      <c r="B436" s="11">
        <v>918</v>
      </c>
      <c r="C436" s="6" t="s">
        <v>123</v>
      </c>
      <c r="D436" s="6" t="s">
        <v>123</v>
      </c>
      <c r="E436" s="11" t="s">
        <v>919</v>
      </c>
      <c r="F436" s="12" t="s">
        <v>50</v>
      </c>
      <c r="G436" s="64">
        <f>G437</f>
        <v>0</v>
      </c>
      <c r="H436" s="111"/>
      <c r="I436" s="112"/>
      <c r="J436" s="111"/>
      <c r="K436" s="76"/>
      <c r="L436" s="75"/>
      <c r="M436" s="75"/>
      <c r="AG436" s="75"/>
      <c r="AH436" s="75"/>
    </row>
    <row r="437" spans="1:110" ht="46.5" hidden="1" customHeight="1" x14ac:dyDescent="0.3">
      <c r="A437" s="138" t="s">
        <v>425</v>
      </c>
      <c r="B437" s="11">
        <v>918</v>
      </c>
      <c r="C437" s="6" t="s">
        <v>123</v>
      </c>
      <c r="D437" s="6" t="s">
        <v>123</v>
      </c>
      <c r="E437" s="11" t="s">
        <v>919</v>
      </c>
      <c r="F437" s="12" t="s">
        <v>59</v>
      </c>
      <c r="G437" s="64">
        <v>0</v>
      </c>
      <c r="H437" s="111"/>
      <c r="I437" s="112"/>
      <c r="J437" s="111"/>
      <c r="K437" s="76"/>
      <c r="L437" s="75"/>
      <c r="M437" s="75"/>
      <c r="AG437" s="75"/>
      <c r="AH437" s="75"/>
      <c r="CC437" s="237">
        <v>1529.55</v>
      </c>
    </row>
    <row r="438" spans="1:110" ht="31.5" hidden="1" customHeight="1" x14ac:dyDescent="0.3">
      <c r="A438" s="224" t="s">
        <v>921</v>
      </c>
      <c r="B438" s="11">
        <v>918</v>
      </c>
      <c r="C438" s="6" t="s">
        <v>123</v>
      </c>
      <c r="D438" s="6" t="s">
        <v>123</v>
      </c>
      <c r="E438" s="11" t="s">
        <v>920</v>
      </c>
      <c r="F438" s="12" t="s">
        <v>50</v>
      </c>
      <c r="G438" s="64">
        <f>G439</f>
        <v>0</v>
      </c>
      <c r="H438" s="111"/>
      <c r="I438" s="112"/>
      <c r="J438" s="111"/>
      <c r="K438" s="76"/>
      <c r="L438" s="75"/>
      <c r="M438" s="75"/>
      <c r="AG438" s="75"/>
      <c r="AH438" s="75"/>
    </row>
    <row r="439" spans="1:110" ht="46.5" hidden="1" customHeight="1" x14ac:dyDescent="0.3">
      <c r="A439" s="138" t="s">
        <v>425</v>
      </c>
      <c r="B439" s="11">
        <v>918</v>
      </c>
      <c r="C439" s="6" t="s">
        <v>123</v>
      </c>
      <c r="D439" s="6" t="s">
        <v>123</v>
      </c>
      <c r="E439" s="11" t="s">
        <v>920</v>
      </c>
      <c r="F439" s="12" t="s">
        <v>59</v>
      </c>
      <c r="G439" s="64">
        <v>0</v>
      </c>
      <c r="H439" s="111"/>
      <c r="I439" s="112"/>
      <c r="J439" s="111"/>
      <c r="K439" s="76"/>
      <c r="L439" s="75"/>
      <c r="M439" s="75"/>
      <c r="AG439" s="75"/>
      <c r="AH439" s="75"/>
      <c r="CC439" s="237">
        <v>250</v>
      </c>
    </row>
    <row r="440" spans="1:110" x14ac:dyDescent="0.3">
      <c r="A440" s="150" t="s">
        <v>129</v>
      </c>
      <c r="B440" s="10">
        <v>918</v>
      </c>
      <c r="C440" s="17" t="s">
        <v>130</v>
      </c>
      <c r="D440" s="17" t="s">
        <v>112</v>
      </c>
      <c r="E440" s="10" t="s">
        <v>49</v>
      </c>
      <c r="F440" s="7" t="s">
        <v>50</v>
      </c>
      <c r="G440" s="64">
        <f>G441</f>
        <v>17802.7</v>
      </c>
      <c r="H440" s="111"/>
      <c r="I440" s="112"/>
      <c r="J440" s="111"/>
      <c r="K440" s="76"/>
      <c r="L440" s="75"/>
      <c r="M440" s="75"/>
      <c r="AG440" s="75"/>
      <c r="AH440" s="75"/>
    </row>
    <row r="441" spans="1:110" x14ac:dyDescent="0.3">
      <c r="A441" s="150" t="s">
        <v>194</v>
      </c>
      <c r="B441" s="10">
        <v>918</v>
      </c>
      <c r="C441" s="17" t="s">
        <v>130</v>
      </c>
      <c r="D441" s="17" t="s">
        <v>115</v>
      </c>
      <c r="E441" s="10" t="s">
        <v>49</v>
      </c>
      <c r="F441" s="7" t="s">
        <v>50</v>
      </c>
      <c r="G441" s="64">
        <f>G442+G474</f>
        <v>17802.7</v>
      </c>
      <c r="H441" s="111"/>
      <c r="I441" s="112"/>
      <c r="J441" s="111"/>
      <c r="K441" s="76"/>
      <c r="L441" s="75"/>
      <c r="M441" s="75"/>
      <c r="AG441" s="75"/>
      <c r="AH441" s="75"/>
    </row>
    <row r="442" spans="1:110" ht="44.25" customHeight="1" x14ac:dyDescent="0.3">
      <c r="A442" s="151" t="s">
        <v>158</v>
      </c>
      <c r="B442" s="11">
        <v>918</v>
      </c>
      <c r="C442" s="6" t="s">
        <v>130</v>
      </c>
      <c r="D442" s="6" t="s">
        <v>115</v>
      </c>
      <c r="E442" s="12" t="s">
        <v>85</v>
      </c>
      <c r="F442" s="12" t="s">
        <v>50</v>
      </c>
      <c r="G442" s="53">
        <f>G443+G459+G466+G469+G489</f>
        <v>17802.7</v>
      </c>
      <c r="H442" s="111"/>
      <c r="I442" s="112"/>
      <c r="J442" s="111"/>
      <c r="K442" s="76"/>
      <c r="L442" s="75"/>
      <c r="M442" s="75"/>
      <c r="AG442" s="75"/>
      <c r="AH442" s="75"/>
    </row>
    <row r="443" spans="1:110" ht="55.5" customHeight="1" x14ac:dyDescent="0.3">
      <c r="A443" s="151" t="s">
        <v>143</v>
      </c>
      <c r="B443" s="11">
        <v>918</v>
      </c>
      <c r="C443" s="6" t="s">
        <v>130</v>
      </c>
      <c r="D443" s="6" t="s">
        <v>115</v>
      </c>
      <c r="E443" s="12" t="s">
        <v>87</v>
      </c>
      <c r="F443" s="12" t="s">
        <v>50</v>
      </c>
      <c r="G443" s="53">
        <f>G444+G454</f>
        <v>17656.400000000001</v>
      </c>
      <c r="H443" s="111"/>
      <c r="I443" s="112"/>
      <c r="J443" s="111"/>
      <c r="K443" s="76"/>
      <c r="L443" s="75"/>
      <c r="M443" s="75"/>
      <c r="AG443" s="75"/>
      <c r="AH443" s="75"/>
    </row>
    <row r="444" spans="1:110" ht="37.5" x14ac:dyDescent="0.3">
      <c r="A444" s="138" t="s">
        <v>52</v>
      </c>
      <c r="B444" s="11">
        <v>918</v>
      </c>
      <c r="C444" s="6" t="s">
        <v>130</v>
      </c>
      <c r="D444" s="6" t="s">
        <v>115</v>
      </c>
      <c r="E444" s="12" t="s">
        <v>196</v>
      </c>
      <c r="F444" s="12" t="s">
        <v>50</v>
      </c>
      <c r="G444" s="53">
        <f>G445+G452</f>
        <v>17567.900000000001</v>
      </c>
      <c r="H444" s="111"/>
      <c r="I444" s="112"/>
      <c r="J444" s="111"/>
      <c r="K444" s="76"/>
      <c r="L444" s="75"/>
      <c r="M444" s="75"/>
      <c r="AG444" s="75"/>
      <c r="AH444" s="75"/>
    </row>
    <row r="445" spans="1:110" x14ac:dyDescent="0.3">
      <c r="A445" s="138" t="s">
        <v>195</v>
      </c>
      <c r="B445" s="11">
        <v>918</v>
      </c>
      <c r="C445" s="6" t="s">
        <v>130</v>
      </c>
      <c r="D445" s="6" t="s">
        <v>115</v>
      </c>
      <c r="E445" s="12" t="s">
        <v>197</v>
      </c>
      <c r="F445" s="12" t="s">
        <v>50</v>
      </c>
      <c r="G445" s="53">
        <f>G446+G447+G449+G450+G448</f>
        <v>17567.900000000001</v>
      </c>
      <c r="H445" s="111"/>
      <c r="I445" s="112"/>
      <c r="J445" s="111"/>
      <c r="K445" s="76"/>
      <c r="L445" s="75"/>
      <c r="M445" s="75"/>
      <c r="AG445" s="75"/>
      <c r="AH445" s="75"/>
    </row>
    <row r="446" spans="1:110" ht="93.75" x14ac:dyDescent="0.3">
      <c r="A446" s="138" t="s">
        <v>56</v>
      </c>
      <c r="B446" s="11">
        <v>918</v>
      </c>
      <c r="C446" s="6" t="s">
        <v>130</v>
      </c>
      <c r="D446" s="6" t="s">
        <v>115</v>
      </c>
      <c r="E446" s="12" t="s">
        <v>197</v>
      </c>
      <c r="F446" s="12" t="s">
        <v>57</v>
      </c>
      <c r="G446" s="53">
        <f>CS446</f>
        <v>13883.6</v>
      </c>
      <c r="H446" s="120">
        <v>9411.5</v>
      </c>
      <c r="I446" s="121"/>
      <c r="J446" s="120"/>
      <c r="K446" s="76"/>
      <c r="L446" s="75"/>
      <c r="M446" s="75"/>
      <c r="AG446" s="75"/>
      <c r="AH446" s="75"/>
      <c r="AK446" s="75">
        <v>9707.2999999999993</v>
      </c>
      <c r="BK446" s="218">
        <v>211.2</v>
      </c>
      <c r="BM446" s="95">
        <v>11284.7</v>
      </c>
      <c r="CG446" s="187">
        <v>-2.1414599999999999</v>
      </c>
      <c r="CS446" s="255">
        <v>13883.6</v>
      </c>
    </row>
    <row r="447" spans="1:110" ht="37.5" x14ac:dyDescent="0.3">
      <c r="A447" s="138" t="s">
        <v>425</v>
      </c>
      <c r="B447" s="11">
        <v>918</v>
      </c>
      <c r="C447" s="6" t="s">
        <v>130</v>
      </c>
      <c r="D447" s="6" t="s">
        <v>115</v>
      </c>
      <c r="E447" s="12" t="s">
        <v>197</v>
      </c>
      <c r="F447" s="12" t="s">
        <v>59</v>
      </c>
      <c r="G447" s="53">
        <f>CS447+CV447+DC447+DF447</f>
        <v>2274.1000000000004</v>
      </c>
      <c r="H447" s="120">
        <v>1425.9</v>
      </c>
      <c r="I447" s="121"/>
      <c r="J447" s="120"/>
      <c r="K447" s="76"/>
      <c r="L447" s="75"/>
      <c r="M447" s="75"/>
      <c r="W447">
        <v>200</v>
      </c>
      <c r="AC447">
        <v>7.9</v>
      </c>
      <c r="AE447">
        <f>7.9+138.9</f>
        <v>146.80000000000001</v>
      </c>
      <c r="AG447" s="75"/>
      <c r="AH447" s="75">
        <v>-1.3580000000000001</v>
      </c>
      <c r="AK447" s="75">
        <v>1234</v>
      </c>
      <c r="AV447" s="187">
        <v>23</v>
      </c>
      <c r="AX447" s="96">
        <v>47.9</v>
      </c>
      <c r="BE447" s="218">
        <v>15</v>
      </c>
      <c r="BL447" s="187">
        <v>-111.6</v>
      </c>
      <c r="BM447" s="95">
        <v>1366.4</v>
      </c>
      <c r="BX447" s="146">
        <v>30</v>
      </c>
      <c r="CB447" s="218">
        <v>250</v>
      </c>
      <c r="CC447" s="237">
        <v>-250</v>
      </c>
      <c r="CF447" s="187">
        <v>20</v>
      </c>
      <c r="CH447" s="250">
        <v>250</v>
      </c>
      <c r="CS447" s="255">
        <f>1359.5+357.3</f>
        <v>1716.8</v>
      </c>
      <c r="CV447" s="259">
        <v>400</v>
      </c>
      <c r="DC447" s="187">
        <v>20</v>
      </c>
      <c r="DF447" s="187">
        <f>24.2+113.1</f>
        <v>137.29999999999998</v>
      </c>
    </row>
    <row r="448" spans="1:110" ht="37.5" hidden="1" x14ac:dyDescent="0.3">
      <c r="A448" s="138" t="s">
        <v>175</v>
      </c>
      <c r="B448" s="11">
        <v>918</v>
      </c>
      <c r="C448" s="6" t="s">
        <v>130</v>
      </c>
      <c r="D448" s="6" t="s">
        <v>115</v>
      </c>
      <c r="E448" s="12" t="s">
        <v>197</v>
      </c>
      <c r="F448" s="12" t="s">
        <v>176</v>
      </c>
      <c r="G448" s="53">
        <v>0</v>
      </c>
      <c r="H448" s="120"/>
      <c r="I448" s="121"/>
      <c r="J448" s="120"/>
      <c r="K448" s="76"/>
      <c r="L448" s="75"/>
      <c r="M448" s="75"/>
      <c r="AG448" s="75"/>
      <c r="AH448" s="75"/>
      <c r="CG448" s="187">
        <v>2.1414599999999999</v>
      </c>
    </row>
    <row r="449" spans="1:107" ht="27.75" customHeight="1" x14ac:dyDescent="0.3">
      <c r="A449" s="138" t="s">
        <v>60</v>
      </c>
      <c r="B449" s="11">
        <v>918</v>
      </c>
      <c r="C449" s="6" t="s">
        <v>130</v>
      </c>
      <c r="D449" s="6" t="s">
        <v>115</v>
      </c>
      <c r="E449" s="12" t="s">
        <v>197</v>
      </c>
      <c r="F449" s="12" t="s">
        <v>61</v>
      </c>
      <c r="G449" s="53">
        <f>CS449</f>
        <v>8</v>
      </c>
      <c r="H449" s="120">
        <v>8.8000000000000007</v>
      </c>
      <c r="I449" s="121"/>
      <c r="J449" s="120"/>
      <c r="K449" s="76"/>
      <c r="L449" s="75"/>
      <c r="M449" s="75"/>
      <c r="AG449" s="75"/>
      <c r="AH449" s="75"/>
      <c r="AK449" s="75">
        <v>9.1999999999999993</v>
      </c>
      <c r="BL449" s="187">
        <v>-0.61099999999999999</v>
      </c>
      <c r="BM449" s="95">
        <v>8.4</v>
      </c>
      <c r="CS449" s="255">
        <v>8</v>
      </c>
    </row>
    <row r="450" spans="1:107" ht="37.5" x14ac:dyDescent="0.3">
      <c r="A450" s="157" t="s">
        <v>374</v>
      </c>
      <c r="B450" s="11">
        <v>918</v>
      </c>
      <c r="C450" s="6" t="s">
        <v>130</v>
      </c>
      <c r="D450" s="6" t="s">
        <v>115</v>
      </c>
      <c r="E450" s="12" t="s">
        <v>426</v>
      </c>
      <c r="F450" s="12" t="s">
        <v>50</v>
      </c>
      <c r="G450" s="53">
        <f>G451</f>
        <v>1402.2</v>
      </c>
      <c r="H450" s="111"/>
      <c r="I450" s="112"/>
      <c r="J450" s="111"/>
      <c r="K450" s="76"/>
      <c r="L450" s="75"/>
      <c r="M450" s="75"/>
      <c r="AG450" s="75"/>
      <c r="AH450" s="75"/>
    </row>
    <row r="451" spans="1:107" ht="93.75" x14ac:dyDescent="0.3">
      <c r="A451" s="138" t="s">
        <v>56</v>
      </c>
      <c r="B451" s="11">
        <v>918</v>
      </c>
      <c r="C451" s="6" t="s">
        <v>130</v>
      </c>
      <c r="D451" s="6" t="s">
        <v>115</v>
      </c>
      <c r="E451" s="12" t="s">
        <v>426</v>
      </c>
      <c r="F451" s="12" t="s">
        <v>57</v>
      </c>
      <c r="G451" s="53">
        <f>CW451</f>
        <v>1402.2</v>
      </c>
      <c r="H451" s="111"/>
      <c r="I451" s="112"/>
      <c r="J451" s="111"/>
      <c r="K451" s="76"/>
      <c r="L451" s="75"/>
      <c r="M451" s="75"/>
      <c r="Z451">
        <v>23.9</v>
      </c>
      <c r="AG451" s="75">
        <v>130.1</v>
      </c>
      <c r="AH451" s="75"/>
      <c r="AK451" s="75">
        <v>0</v>
      </c>
      <c r="AP451" s="146">
        <v>1030.9000000000001</v>
      </c>
      <c r="BK451" s="218">
        <v>575.20000000000005</v>
      </c>
      <c r="BY451" s="146">
        <v>1346.6</v>
      </c>
      <c r="CI451" s="187">
        <v>1137.4000000000001</v>
      </c>
      <c r="CW451" s="259">
        <v>1402.2</v>
      </c>
    </row>
    <row r="452" spans="1:107" ht="44.25" hidden="1" customHeight="1" x14ac:dyDescent="0.3">
      <c r="A452" s="157" t="s">
        <v>378</v>
      </c>
      <c r="B452" s="11">
        <v>918</v>
      </c>
      <c r="C452" s="6" t="s">
        <v>130</v>
      </c>
      <c r="D452" s="6" t="s">
        <v>115</v>
      </c>
      <c r="E452" s="12" t="s">
        <v>427</v>
      </c>
      <c r="F452" s="12" t="s">
        <v>50</v>
      </c>
      <c r="G452" s="53">
        <f>G453</f>
        <v>0</v>
      </c>
      <c r="H452" s="111"/>
      <c r="I452" s="112"/>
      <c r="J452" s="111"/>
      <c r="K452" s="76"/>
      <c r="L452" s="75"/>
      <c r="M452" s="75"/>
      <c r="AG452" s="75"/>
      <c r="AH452" s="75"/>
    </row>
    <row r="453" spans="1:107" ht="93.75" hidden="1" x14ac:dyDescent="0.3">
      <c r="A453" s="138" t="s">
        <v>56</v>
      </c>
      <c r="B453" s="11">
        <v>918</v>
      </c>
      <c r="C453" s="6" t="s">
        <v>130</v>
      </c>
      <c r="D453" s="6" t="s">
        <v>115</v>
      </c>
      <c r="E453" s="12" t="s">
        <v>427</v>
      </c>
      <c r="F453" s="12" t="s">
        <v>57</v>
      </c>
      <c r="G453" s="53">
        <v>0</v>
      </c>
      <c r="H453" s="111"/>
      <c r="I453" s="112"/>
      <c r="J453" s="111"/>
      <c r="K453" s="76"/>
      <c r="L453" s="75"/>
      <c r="M453" s="75"/>
      <c r="AG453" s="75"/>
      <c r="AH453" s="75"/>
    </row>
    <row r="454" spans="1:107" x14ac:dyDescent="0.3">
      <c r="A454" s="138" t="s">
        <v>62</v>
      </c>
      <c r="B454" s="11">
        <v>918</v>
      </c>
      <c r="C454" s="6" t="s">
        <v>130</v>
      </c>
      <c r="D454" s="6" t="s">
        <v>115</v>
      </c>
      <c r="E454" s="12" t="s">
        <v>198</v>
      </c>
      <c r="F454" s="12" t="s">
        <v>50</v>
      </c>
      <c r="G454" s="53">
        <f>G455</f>
        <v>88.5</v>
      </c>
      <c r="H454" s="111"/>
      <c r="I454" s="112"/>
      <c r="J454" s="111"/>
      <c r="K454" s="76"/>
      <c r="L454" s="75"/>
      <c r="M454" s="75"/>
      <c r="AG454" s="75"/>
      <c r="AH454" s="75"/>
    </row>
    <row r="455" spans="1:107" ht="24.75" customHeight="1" x14ac:dyDescent="0.3">
      <c r="A455" s="138" t="s">
        <v>75</v>
      </c>
      <c r="B455" s="11">
        <v>918</v>
      </c>
      <c r="C455" s="12" t="s">
        <v>130</v>
      </c>
      <c r="D455" s="12" t="s">
        <v>115</v>
      </c>
      <c r="E455" s="12" t="s">
        <v>199</v>
      </c>
      <c r="F455" s="12" t="s">
        <v>50</v>
      </c>
      <c r="G455" s="53">
        <f>G456</f>
        <v>88.5</v>
      </c>
      <c r="H455" s="111"/>
      <c r="I455" s="112"/>
      <c r="J455" s="111"/>
      <c r="K455" s="76"/>
      <c r="L455" s="75"/>
      <c r="M455" s="75"/>
      <c r="AG455" s="75"/>
      <c r="AH455" s="75"/>
    </row>
    <row r="456" spans="1:107" ht="37.5" x14ac:dyDescent="0.3">
      <c r="A456" s="138" t="s">
        <v>425</v>
      </c>
      <c r="B456" s="11">
        <v>918</v>
      </c>
      <c r="C456" s="6" t="s">
        <v>130</v>
      </c>
      <c r="D456" s="6" t="s">
        <v>115</v>
      </c>
      <c r="E456" s="12" t="s">
        <v>199</v>
      </c>
      <c r="F456" s="12" t="s">
        <v>59</v>
      </c>
      <c r="G456" s="53">
        <f>CS456</f>
        <v>88.5</v>
      </c>
      <c r="H456" s="111">
        <v>88.5</v>
      </c>
      <c r="I456" s="112"/>
      <c r="J456" s="111"/>
      <c r="K456" s="76"/>
      <c r="L456" s="75"/>
      <c r="M456" s="75"/>
      <c r="U456">
        <v>40</v>
      </c>
      <c r="AC456">
        <v>10</v>
      </c>
      <c r="AG456" s="75"/>
      <c r="AH456" s="75"/>
      <c r="AK456" s="75">
        <v>88.5</v>
      </c>
      <c r="BJ456" s="187">
        <v>35</v>
      </c>
      <c r="BM456" s="95">
        <v>88.5</v>
      </c>
      <c r="CL456" s="187">
        <v>35</v>
      </c>
      <c r="CS456" s="255">
        <v>88.5</v>
      </c>
    </row>
    <row r="457" spans="1:107" ht="25.5" hidden="1" customHeight="1" outlineLevel="1" x14ac:dyDescent="0.3">
      <c r="A457" s="138" t="s">
        <v>64</v>
      </c>
      <c r="B457" s="11">
        <v>918</v>
      </c>
      <c r="C457" s="6" t="s">
        <v>130</v>
      </c>
      <c r="D457" s="6" t="s">
        <v>115</v>
      </c>
      <c r="E457" s="12" t="s">
        <v>200</v>
      </c>
      <c r="F457" s="12" t="s">
        <v>50</v>
      </c>
      <c r="G457" s="53">
        <f>G458</f>
        <v>0</v>
      </c>
      <c r="H457" s="111"/>
      <c r="I457" s="112"/>
      <c r="J457" s="111"/>
      <c r="K457" s="76"/>
      <c r="L457" s="75"/>
      <c r="M457" s="75"/>
      <c r="AG457" s="75"/>
      <c r="AH457" s="75"/>
    </row>
    <row r="458" spans="1:107" ht="37.5" hidden="1" outlineLevel="1" x14ac:dyDescent="0.3">
      <c r="A458" s="138" t="s">
        <v>58</v>
      </c>
      <c r="B458" s="11">
        <v>918</v>
      </c>
      <c r="C458" s="6" t="s">
        <v>130</v>
      </c>
      <c r="D458" s="6" t="s">
        <v>115</v>
      </c>
      <c r="E458" s="12" t="s">
        <v>200</v>
      </c>
      <c r="F458" s="12" t="s">
        <v>59</v>
      </c>
      <c r="G458" s="53"/>
      <c r="H458" s="111"/>
      <c r="I458" s="112"/>
      <c r="J458" s="111"/>
      <c r="K458" s="76"/>
      <c r="L458" s="75"/>
      <c r="M458" s="75"/>
      <c r="AG458" s="75"/>
      <c r="AH458" s="75"/>
    </row>
    <row r="459" spans="1:107" hidden="1" x14ac:dyDescent="0.3">
      <c r="A459" s="138" t="s">
        <v>409</v>
      </c>
      <c r="B459" s="11">
        <v>918</v>
      </c>
      <c r="C459" s="6" t="s">
        <v>130</v>
      </c>
      <c r="D459" s="6" t="s">
        <v>115</v>
      </c>
      <c r="E459" s="12" t="s">
        <v>90</v>
      </c>
      <c r="F459" s="12" t="s">
        <v>50</v>
      </c>
      <c r="G459" s="53">
        <f>G460</f>
        <v>20</v>
      </c>
      <c r="H459" s="111"/>
      <c r="I459" s="112"/>
      <c r="J459" s="111"/>
      <c r="K459" s="76"/>
      <c r="L459" s="75"/>
      <c r="M459" s="75"/>
      <c r="AG459" s="75"/>
      <c r="AH459" s="75"/>
    </row>
    <row r="460" spans="1:107" hidden="1" x14ac:dyDescent="0.3">
      <c r="A460" s="158" t="s">
        <v>62</v>
      </c>
      <c r="B460" s="47">
        <v>918</v>
      </c>
      <c r="C460" s="87" t="s">
        <v>130</v>
      </c>
      <c r="D460" s="87" t="s">
        <v>115</v>
      </c>
      <c r="E460" s="42" t="s">
        <v>310</v>
      </c>
      <c r="F460" s="42" t="s">
        <v>50</v>
      </c>
      <c r="G460" s="53">
        <f>G461</f>
        <v>20</v>
      </c>
      <c r="H460" s="111"/>
      <c r="I460" s="112"/>
      <c r="J460" s="111"/>
      <c r="K460" s="76"/>
      <c r="L460" s="75"/>
      <c r="M460" s="75"/>
      <c r="AG460" s="75"/>
      <c r="AH460" s="75"/>
    </row>
    <row r="461" spans="1:107" ht="37.5" x14ac:dyDescent="0.3">
      <c r="A461" s="158" t="s">
        <v>385</v>
      </c>
      <c r="B461" s="47">
        <v>918</v>
      </c>
      <c r="C461" s="87" t="s">
        <v>130</v>
      </c>
      <c r="D461" s="87" t="s">
        <v>115</v>
      </c>
      <c r="E461" s="42" t="s">
        <v>386</v>
      </c>
      <c r="F461" s="42" t="s">
        <v>50</v>
      </c>
      <c r="G461" s="53">
        <f>G462</f>
        <v>20</v>
      </c>
      <c r="H461" s="111"/>
      <c r="I461" s="112"/>
      <c r="J461" s="111"/>
      <c r="K461" s="76"/>
      <c r="L461" s="75"/>
      <c r="M461" s="75"/>
      <c r="AG461" s="75"/>
      <c r="AH461" s="75"/>
    </row>
    <row r="462" spans="1:107" ht="37.5" x14ac:dyDescent="0.3">
      <c r="A462" s="138" t="s">
        <v>425</v>
      </c>
      <c r="B462" s="47">
        <v>918</v>
      </c>
      <c r="C462" s="87" t="s">
        <v>130</v>
      </c>
      <c r="D462" s="87" t="s">
        <v>115</v>
      </c>
      <c r="E462" s="42" t="s">
        <v>386</v>
      </c>
      <c r="F462" s="42" t="s">
        <v>59</v>
      </c>
      <c r="G462" s="53">
        <f>DC462</f>
        <v>20</v>
      </c>
      <c r="H462" s="111"/>
      <c r="I462" s="112"/>
      <c r="J462" s="111"/>
      <c r="K462" s="76"/>
      <c r="L462" s="75"/>
      <c r="M462" s="75"/>
      <c r="AG462" s="75"/>
      <c r="AH462" s="75"/>
      <c r="BE462" s="218">
        <v>15</v>
      </c>
      <c r="BL462" s="187">
        <v>-2</v>
      </c>
      <c r="CJ462" s="187">
        <v>15</v>
      </c>
      <c r="DC462" s="187">
        <v>20</v>
      </c>
    </row>
    <row r="463" spans="1:107" hidden="1" x14ac:dyDescent="0.3">
      <c r="A463" s="158" t="s">
        <v>435</v>
      </c>
      <c r="B463" s="47">
        <v>918</v>
      </c>
      <c r="C463" s="87" t="s">
        <v>130</v>
      </c>
      <c r="D463" s="87" t="s">
        <v>115</v>
      </c>
      <c r="E463" s="42" t="s">
        <v>436</v>
      </c>
      <c r="F463" s="42" t="s">
        <v>50</v>
      </c>
      <c r="G463" s="53">
        <f>G464+G465</f>
        <v>0</v>
      </c>
      <c r="H463" s="111"/>
      <c r="I463" s="112"/>
      <c r="J463" s="111"/>
      <c r="K463" s="76"/>
      <c r="L463" s="75"/>
      <c r="M463" s="75"/>
      <c r="AG463" s="75"/>
      <c r="AH463" s="75"/>
    </row>
    <row r="464" spans="1:107" ht="93.75" hidden="1" x14ac:dyDescent="0.3">
      <c r="A464" s="158" t="s">
        <v>56</v>
      </c>
      <c r="B464" s="47">
        <v>918</v>
      </c>
      <c r="C464" s="87" t="s">
        <v>130</v>
      </c>
      <c r="D464" s="87" t="s">
        <v>115</v>
      </c>
      <c r="E464" s="42" t="s">
        <v>436</v>
      </c>
      <c r="F464" s="42" t="s">
        <v>57</v>
      </c>
      <c r="G464" s="53">
        <v>0</v>
      </c>
      <c r="H464" s="111"/>
      <c r="I464" s="112"/>
      <c r="J464" s="111"/>
      <c r="K464" s="76"/>
      <c r="L464" s="75"/>
      <c r="M464" s="75"/>
      <c r="AG464" s="75"/>
      <c r="AH464" s="75"/>
    </row>
    <row r="465" spans="1:98" ht="37.5" hidden="1" x14ac:dyDescent="0.3">
      <c r="A465" s="138" t="s">
        <v>425</v>
      </c>
      <c r="B465" s="47">
        <v>918</v>
      </c>
      <c r="C465" s="87" t="s">
        <v>130</v>
      </c>
      <c r="D465" s="87" t="s">
        <v>115</v>
      </c>
      <c r="E465" s="42" t="s">
        <v>436</v>
      </c>
      <c r="F465" s="42" t="s">
        <v>59</v>
      </c>
      <c r="G465" s="53">
        <v>0</v>
      </c>
      <c r="H465" s="111"/>
      <c r="I465" s="112"/>
      <c r="J465" s="111"/>
      <c r="K465" s="76"/>
      <c r="L465" s="75"/>
      <c r="M465" s="75"/>
      <c r="AG465" s="75"/>
      <c r="AH465" s="75"/>
    </row>
    <row r="466" spans="1:98" ht="56.25" hidden="1" x14ac:dyDescent="0.3">
      <c r="A466" s="138" t="s">
        <v>484</v>
      </c>
      <c r="B466" s="47">
        <v>918</v>
      </c>
      <c r="C466" s="87" t="s">
        <v>130</v>
      </c>
      <c r="D466" s="87" t="s">
        <v>115</v>
      </c>
      <c r="E466" s="42" t="s">
        <v>485</v>
      </c>
      <c r="F466" s="42" t="s">
        <v>50</v>
      </c>
      <c r="G466" s="53">
        <f>G467+G468</f>
        <v>0</v>
      </c>
      <c r="H466" s="111"/>
      <c r="I466" s="112"/>
      <c r="J466" s="111"/>
      <c r="K466" s="76"/>
      <c r="L466" s="75"/>
      <c r="M466" s="75"/>
      <c r="AG466" s="75"/>
      <c r="AH466" s="75"/>
    </row>
    <row r="467" spans="1:98" ht="93.75" hidden="1" x14ac:dyDescent="0.3">
      <c r="A467" s="138" t="s">
        <v>56</v>
      </c>
      <c r="B467" s="47">
        <v>918</v>
      </c>
      <c r="C467" s="87" t="s">
        <v>130</v>
      </c>
      <c r="D467" s="87" t="s">
        <v>115</v>
      </c>
      <c r="E467" s="42" t="s">
        <v>485</v>
      </c>
      <c r="F467" s="42" t="s">
        <v>57</v>
      </c>
      <c r="G467" s="53">
        <v>0</v>
      </c>
      <c r="H467" s="111"/>
      <c r="I467" s="112"/>
      <c r="J467" s="111"/>
      <c r="K467" s="76"/>
      <c r="L467" s="75"/>
      <c r="M467" s="75">
        <v>1.0409999999999999</v>
      </c>
      <c r="AG467" s="75"/>
      <c r="AH467" s="75"/>
      <c r="AK467" s="75">
        <v>0</v>
      </c>
    </row>
    <row r="468" spans="1:98" ht="37.5" hidden="1" x14ac:dyDescent="0.3">
      <c r="A468" s="138" t="s">
        <v>425</v>
      </c>
      <c r="B468" s="47">
        <v>918</v>
      </c>
      <c r="C468" s="87" t="s">
        <v>130</v>
      </c>
      <c r="D468" s="87" t="s">
        <v>115</v>
      </c>
      <c r="E468" s="42" t="s">
        <v>485</v>
      </c>
      <c r="F468" s="42" t="s">
        <v>59</v>
      </c>
      <c r="G468" s="53">
        <v>0</v>
      </c>
      <c r="H468" s="111"/>
      <c r="I468" s="112"/>
      <c r="J468" s="111"/>
      <c r="K468" s="76"/>
      <c r="L468" s="75"/>
      <c r="M468" s="75">
        <v>10.416</v>
      </c>
      <c r="AG468" s="75"/>
      <c r="AH468" s="75"/>
      <c r="AK468" s="75">
        <v>0</v>
      </c>
    </row>
    <row r="469" spans="1:98" x14ac:dyDescent="0.3">
      <c r="A469" s="138" t="s">
        <v>387</v>
      </c>
      <c r="B469" s="47">
        <v>918</v>
      </c>
      <c r="C469" s="6" t="s">
        <v>130</v>
      </c>
      <c r="D469" s="6" t="s">
        <v>115</v>
      </c>
      <c r="E469" s="12" t="s">
        <v>866</v>
      </c>
      <c r="F469" s="12" t="s">
        <v>50</v>
      </c>
      <c r="G469" s="53">
        <f>G470</f>
        <v>126.3</v>
      </c>
      <c r="H469" s="111"/>
      <c r="I469" s="112"/>
      <c r="J469" s="111"/>
      <c r="K469" s="76"/>
      <c r="L469" s="75"/>
      <c r="M469" s="75"/>
      <c r="AG469" s="75"/>
      <c r="AH469" s="75"/>
    </row>
    <row r="470" spans="1:98" ht="37.5" x14ac:dyDescent="0.3">
      <c r="A470" s="138" t="s">
        <v>425</v>
      </c>
      <c r="B470" s="47">
        <v>918</v>
      </c>
      <c r="C470" s="6" t="s">
        <v>130</v>
      </c>
      <c r="D470" s="6" t="s">
        <v>115</v>
      </c>
      <c r="E470" s="12" t="s">
        <v>866</v>
      </c>
      <c r="F470" s="12" t="s">
        <v>59</v>
      </c>
      <c r="G470" s="53">
        <f>CQ470+CT470</f>
        <v>126.3</v>
      </c>
      <c r="H470" s="120"/>
      <c r="I470" s="121">
        <v>146.30000000000001</v>
      </c>
      <c r="J470" s="120">
        <v>1.5</v>
      </c>
      <c r="K470" s="76"/>
      <c r="L470" s="75"/>
      <c r="M470" s="75"/>
      <c r="AG470" s="75">
        <v>134.41999999999999</v>
      </c>
      <c r="AH470" s="75">
        <v>1.3580000000000001</v>
      </c>
      <c r="AK470" s="75">
        <v>134.69999999999999</v>
      </c>
      <c r="BL470" s="187">
        <v>-2.1999999999999999E-2</v>
      </c>
      <c r="BO470" s="230">
        <v>125.4</v>
      </c>
      <c r="BP470" s="231">
        <v>1.3</v>
      </c>
      <c r="CQ470" s="94">
        <f>124.3+1.3</f>
        <v>125.6</v>
      </c>
      <c r="CT470" s="250">
        <v>0.7</v>
      </c>
    </row>
    <row r="471" spans="1:98" hidden="1" x14ac:dyDescent="0.3">
      <c r="A471" s="138" t="s">
        <v>689</v>
      </c>
      <c r="B471" s="47">
        <v>918</v>
      </c>
      <c r="C471" s="6" t="s">
        <v>130</v>
      </c>
      <c r="D471" s="6" t="s">
        <v>115</v>
      </c>
      <c r="E471" s="12" t="s">
        <v>690</v>
      </c>
      <c r="F471" s="12" t="s">
        <v>50</v>
      </c>
      <c r="G471" s="53">
        <f>BP470</f>
        <v>1.3</v>
      </c>
      <c r="H471" s="120"/>
      <c r="I471" s="121"/>
      <c r="J471" s="120"/>
      <c r="K471" s="76"/>
      <c r="L471" s="75"/>
      <c r="M471" s="75"/>
      <c r="AG471" s="75"/>
      <c r="AH471" s="75"/>
    </row>
    <row r="472" spans="1:98" ht="37.5" hidden="1" x14ac:dyDescent="0.3">
      <c r="A472" s="138" t="s">
        <v>425</v>
      </c>
      <c r="B472" s="47">
        <v>918</v>
      </c>
      <c r="C472" s="6" t="s">
        <v>130</v>
      </c>
      <c r="D472" s="6" t="s">
        <v>115</v>
      </c>
      <c r="E472" s="12" t="s">
        <v>690</v>
      </c>
      <c r="F472" s="12" t="s">
        <v>59</v>
      </c>
      <c r="G472" s="53">
        <v>0</v>
      </c>
      <c r="H472" s="120"/>
      <c r="I472" s="121">
        <v>5000</v>
      </c>
      <c r="J472" s="120"/>
      <c r="K472" s="76"/>
      <c r="L472" s="75"/>
      <c r="M472" s="75"/>
      <c r="AG472" s="75"/>
      <c r="AH472" s="75"/>
    </row>
    <row r="473" spans="1:98" ht="56.25" hidden="1" x14ac:dyDescent="0.3">
      <c r="A473" s="151" t="s">
        <v>161</v>
      </c>
      <c r="B473" s="11">
        <v>905</v>
      </c>
      <c r="C473" s="92" t="s">
        <v>130</v>
      </c>
      <c r="D473" s="92" t="s">
        <v>115</v>
      </c>
      <c r="E473" s="12" t="s">
        <v>99</v>
      </c>
      <c r="F473" s="12" t="s">
        <v>50</v>
      </c>
      <c r="G473" s="53">
        <f>G474</f>
        <v>0</v>
      </c>
      <c r="H473" s="111"/>
      <c r="I473" s="112"/>
      <c r="J473" s="111"/>
      <c r="K473" s="76"/>
      <c r="L473" s="75"/>
      <c r="M473" s="75"/>
      <c r="AG473" s="75"/>
      <c r="AH473" s="75"/>
    </row>
    <row r="474" spans="1:98" ht="56.25" hidden="1" x14ac:dyDescent="0.3">
      <c r="A474" s="138" t="s">
        <v>458</v>
      </c>
      <c r="B474" s="11">
        <v>918</v>
      </c>
      <c r="C474" s="92" t="s">
        <v>130</v>
      </c>
      <c r="D474" s="92" t="s">
        <v>115</v>
      </c>
      <c r="E474" s="12" t="s">
        <v>29</v>
      </c>
      <c r="F474" s="12" t="s">
        <v>50</v>
      </c>
      <c r="G474" s="53">
        <f>G475+G478+G481</f>
        <v>0</v>
      </c>
      <c r="H474" s="111"/>
      <c r="I474" s="112"/>
      <c r="J474" s="111"/>
      <c r="K474" s="76"/>
      <c r="L474" s="75"/>
      <c r="M474" s="75"/>
      <c r="AG474" s="75"/>
      <c r="AH474" s="75"/>
    </row>
    <row r="475" spans="1:98" ht="75" hidden="1" x14ac:dyDescent="0.3">
      <c r="A475" s="138" t="s">
        <v>249</v>
      </c>
      <c r="B475" s="11">
        <v>918</v>
      </c>
      <c r="C475" s="92" t="s">
        <v>130</v>
      </c>
      <c r="D475" s="92" t="s">
        <v>115</v>
      </c>
      <c r="E475" s="12" t="s">
        <v>254</v>
      </c>
      <c r="F475" s="12" t="s">
        <v>50</v>
      </c>
      <c r="G475" s="53">
        <f>G476</f>
        <v>0</v>
      </c>
      <c r="H475" s="111"/>
      <c r="I475" s="112"/>
      <c r="J475" s="111"/>
      <c r="K475" s="76"/>
      <c r="L475" s="75"/>
      <c r="M475" s="75"/>
      <c r="AG475" s="75"/>
      <c r="AH475" s="75"/>
    </row>
    <row r="476" spans="1:98" ht="56.25" hidden="1" x14ac:dyDescent="0.3">
      <c r="A476" s="138" t="s">
        <v>253</v>
      </c>
      <c r="B476" s="11">
        <v>918</v>
      </c>
      <c r="C476" s="92" t="s">
        <v>130</v>
      </c>
      <c r="D476" s="92" t="s">
        <v>115</v>
      </c>
      <c r="E476" s="12" t="s">
        <v>255</v>
      </c>
      <c r="F476" s="12" t="s">
        <v>50</v>
      </c>
      <c r="G476" s="53">
        <f>G477</f>
        <v>0</v>
      </c>
      <c r="H476" s="111"/>
      <c r="I476" s="112"/>
      <c r="J476" s="111"/>
      <c r="K476" s="76"/>
      <c r="L476" s="75"/>
      <c r="M476" s="75"/>
      <c r="AG476" s="75"/>
      <c r="AH476" s="75"/>
    </row>
    <row r="477" spans="1:98" ht="131.25" hidden="1" x14ac:dyDescent="0.3">
      <c r="A477" s="138" t="s">
        <v>552</v>
      </c>
      <c r="B477" s="11">
        <v>918</v>
      </c>
      <c r="C477" s="92" t="s">
        <v>130</v>
      </c>
      <c r="D477" s="92" t="s">
        <v>115</v>
      </c>
      <c r="E477" s="12" t="s">
        <v>551</v>
      </c>
      <c r="F477" s="12" t="s">
        <v>59</v>
      </c>
      <c r="G477" s="53">
        <v>0</v>
      </c>
      <c r="H477" s="111"/>
      <c r="I477" s="112"/>
      <c r="J477" s="111"/>
      <c r="K477" s="76">
        <v>549</v>
      </c>
      <c r="L477" s="75"/>
      <c r="M477" s="75"/>
      <c r="AG477" s="96">
        <v>-77.443669999999997</v>
      </c>
      <c r="AH477" s="75"/>
      <c r="AK477" s="75">
        <v>0</v>
      </c>
    </row>
    <row r="478" spans="1:98" hidden="1" x14ac:dyDescent="0.3">
      <c r="A478" s="138" t="s">
        <v>62</v>
      </c>
      <c r="B478" s="11">
        <v>918</v>
      </c>
      <c r="C478" s="92" t="s">
        <v>130</v>
      </c>
      <c r="D478" s="92" t="s">
        <v>115</v>
      </c>
      <c r="E478" s="12" t="s">
        <v>251</v>
      </c>
      <c r="F478" s="12" t="s">
        <v>50</v>
      </c>
      <c r="G478" s="53">
        <f>G479</f>
        <v>0</v>
      </c>
      <c r="H478" s="111"/>
      <c r="I478" s="112"/>
      <c r="J478" s="111"/>
      <c r="K478" s="76"/>
      <c r="L478" s="75"/>
      <c r="M478" s="75"/>
      <c r="AG478" s="75"/>
      <c r="AH478" s="75"/>
    </row>
    <row r="479" spans="1:98" ht="37.5" hidden="1" x14ac:dyDescent="0.3">
      <c r="A479" s="158" t="s">
        <v>64</v>
      </c>
      <c r="B479" s="11">
        <v>918</v>
      </c>
      <c r="C479" s="92" t="s">
        <v>130</v>
      </c>
      <c r="D479" s="92" t="s">
        <v>115</v>
      </c>
      <c r="E479" s="12" t="s">
        <v>252</v>
      </c>
      <c r="F479" s="12" t="s">
        <v>50</v>
      </c>
      <c r="G479" s="53">
        <f>G480</f>
        <v>0</v>
      </c>
      <c r="H479" s="111"/>
      <c r="I479" s="112"/>
      <c r="J479" s="111"/>
      <c r="K479" s="76"/>
      <c r="L479" s="75"/>
      <c r="M479" s="75"/>
      <c r="AG479" s="75"/>
      <c r="AH479" s="75"/>
    </row>
    <row r="480" spans="1:98" ht="93.75" hidden="1" x14ac:dyDescent="0.3">
      <c r="A480" s="138" t="s">
        <v>553</v>
      </c>
      <c r="B480" s="11">
        <v>918</v>
      </c>
      <c r="C480" s="92" t="s">
        <v>130</v>
      </c>
      <c r="D480" s="92" t="s">
        <v>115</v>
      </c>
      <c r="E480" s="12" t="s">
        <v>550</v>
      </c>
      <c r="F480" s="12" t="s">
        <v>59</v>
      </c>
      <c r="G480" s="53">
        <v>0</v>
      </c>
      <c r="H480" s="111"/>
      <c r="I480" s="112"/>
      <c r="J480" s="111"/>
      <c r="K480" s="76"/>
      <c r="L480" s="75"/>
      <c r="M480" s="75">
        <v>111</v>
      </c>
      <c r="AG480" s="75"/>
      <c r="AH480" s="75"/>
      <c r="AK480" s="75">
        <v>0</v>
      </c>
    </row>
    <row r="481" spans="1:85" ht="56.25" hidden="1" x14ac:dyDescent="0.3">
      <c r="A481" s="138" t="s">
        <v>253</v>
      </c>
      <c r="B481" s="11">
        <v>918</v>
      </c>
      <c r="C481" s="92" t="s">
        <v>130</v>
      </c>
      <c r="D481" s="92" t="s">
        <v>115</v>
      </c>
      <c r="E481" s="12" t="s">
        <v>256</v>
      </c>
      <c r="F481" s="12" t="s">
        <v>50</v>
      </c>
      <c r="G481" s="53">
        <f>G482</f>
        <v>0</v>
      </c>
      <c r="H481" s="111"/>
      <c r="I481" s="112"/>
      <c r="J481" s="111"/>
      <c r="K481" s="76"/>
      <c r="L481" s="75"/>
      <c r="M481" s="75"/>
      <c r="AG481" s="75"/>
      <c r="AH481" s="75"/>
    </row>
    <row r="482" spans="1:85" ht="120" hidden="1" customHeight="1" outlineLevel="1" x14ac:dyDescent="0.3">
      <c r="A482" s="138" t="s">
        <v>552</v>
      </c>
      <c r="B482" s="11">
        <v>918</v>
      </c>
      <c r="C482" s="92" t="s">
        <v>130</v>
      </c>
      <c r="D482" s="92" t="s">
        <v>115</v>
      </c>
      <c r="E482" s="12" t="s">
        <v>543</v>
      </c>
      <c r="F482" s="12" t="s">
        <v>59</v>
      </c>
      <c r="G482" s="53">
        <v>0</v>
      </c>
      <c r="H482" s="111"/>
      <c r="I482" s="112"/>
      <c r="J482" s="111"/>
      <c r="K482" s="76"/>
      <c r="L482" s="75"/>
      <c r="M482" s="75">
        <v>75.554000000000002</v>
      </c>
      <c r="AG482" s="75"/>
      <c r="AH482" s="75"/>
      <c r="AK482" s="75">
        <v>0</v>
      </c>
    </row>
    <row r="483" spans="1:85" hidden="1" outlineLevel="1" x14ac:dyDescent="0.3">
      <c r="A483" s="150" t="s">
        <v>171</v>
      </c>
      <c r="B483" s="10">
        <v>918</v>
      </c>
      <c r="C483" s="17" t="s">
        <v>169</v>
      </c>
      <c r="D483" s="17" t="s">
        <v>121</v>
      </c>
      <c r="E483" s="10" t="s">
        <v>49</v>
      </c>
      <c r="F483" s="7" t="s">
        <v>50</v>
      </c>
      <c r="G483" s="64">
        <f t="shared" ref="G483:G487" si="1">G484</f>
        <v>0</v>
      </c>
      <c r="H483" s="111"/>
      <c r="I483" s="112"/>
      <c r="J483" s="111"/>
      <c r="K483" s="76"/>
      <c r="L483" s="75"/>
      <c r="M483" s="75"/>
      <c r="AG483" s="75"/>
      <c r="AH483" s="75"/>
    </row>
    <row r="484" spans="1:85" ht="40.5" hidden="1" customHeight="1" outlineLevel="1" x14ac:dyDescent="0.3">
      <c r="A484" s="151" t="s">
        <v>158</v>
      </c>
      <c r="B484" s="11">
        <v>918</v>
      </c>
      <c r="C484" s="6" t="s">
        <v>169</v>
      </c>
      <c r="D484" s="6" t="s">
        <v>121</v>
      </c>
      <c r="E484" s="12" t="s">
        <v>85</v>
      </c>
      <c r="F484" s="12" t="s">
        <v>50</v>
      </c>
      <c r="G484" s="53">
        <f t="shared" si="1"/>
        <v>0</v>
      </c>
      <c r="H484" s="111"/>
      <c r="I484" s="112"/>
      <c r="J484" s="111"/>
      <c r="K484" s="76"/>
      <c r="L484" s="75"/>
      <c r="M484" s="75"/>
      <c r="AG484" s="75"/>
      <c r="AH484" s="75"/>
    </row>
    <row r="485" spans="1:85" ht="59.25" hidden="1" customHeight="1" outlineLevel="1" x14ac:dyDescent="0.3">
      <c r="A485" s="151" t="s">
        <v>143</v>
      </c>
      <c r="B485" s="11">
        <v>918</v>
      </c>
      <c r="C485" s="6" t="s">
        <v>169</v>
      </c>
      <c r="D485" s="6" t="s">
        <v>121</v>
      </c>
      <c r="E485" s="12" t="s">
        <v>87</v>
      </c>
      <c r="F485" s="12" t="s">
        <v>50</v>
      </c>
      <c r="G485" s="53">
        <f t="shared" si="1"/>
        <v>0</v>
      </c>
      <c r="H485" s="111"/>
      <c r="I485" s="112"/>
      <c r="J485" s="111"/>
      <c r="K485" s="76"/>
      <c r="L485" s="75"/>
      <c r="M485" s="75"/>
      <c r="AG485" s="75"/>
      <c r="AH485" s="75"/>
    </row>
    <row r="486" spans="1:85" ht="37.5" hidden="1" outlineLevel="1" x14ac:dyDescent="0.3">
      <c r="A486" s="138" t="s">
        <v>52</v>
      </c>
      <c r="B486" s="11">
        <v>918</v>
      </c>
      <c r="C486" s="6" t="s">
        <v>169</v>
      </c>
      <c r="D486" s="6" t="s">
        <v>121</v>
      </c>
      <c r="E486" s="12" t="s">
        <v>196</v>
      </c>
      <c r="F486" s="12" t="s">
        <v>50</v>
      </c>
      <c r="G486" s="53">
        <f t="shared" si="1"/>
        <v>0</v>
      </c>
      <c r="H486" s="111"/>
      <c r="I486" s="112"/>
      <c r="J486" s="111"/>
      <c r="K486" s="76"/>
      <c r="L486" s="75"/>
      <c r="M486" s="75"/>
      <c r="AG486" s="75"/>
      <c r="AH486" s="75"/>
    </row>
    <row r="487" spans="1:85" hidden="1" outlineLevel="1" x14ac:dyDescent="0.3">
      <c r="A487" s="138" t="s">
        <v>195</v>
      </c>
      <c r="B487" s="11">
        <v>918</v>
      </c>
      <c r="C487" s="6" t="s">
        <v>169</v>
      </c>
      <c r="D487" s="6" t="s">
        <v>121</v>
      </c>
      <c r="E487" s="12" t="s">
        <v>197</v>
      </c>
      <c r="F487" s="12" t="s">
        <v>50</v>
      </c>
      <c r="G487" s="53">
        <f t="shared" si="1"/>
        <v>0</v>
      </c>
      <c r="H487" s="111"/>
      <c r="I487" s="112"/>
      <c r="J487" s="111"/>
      <c r="K487" s="76"/>
      <c r="L487" s="75"/>
      <c r="M487" s="75"/>
      <c r="AG487" s="75"/>
      <c r="AH487" s="75"/>
    </row>
    <row r="488" spans="1:85" ht="93.75" hidden="1" outlineLevel="1" x14ac:dyDescent="0.3">
      <c r="A488" s="138" t="s">
        <v>56</v>
      </c>
      <c r="B488" s="11">
        <v>918</v>
      </c>
      <c r="C488" s="6" t="s">
        <v>169</v>
      </c>
      <c r="D488" s="6" t="s">
        <v>121</v>
      </c>
      <c r="E488" s="12" t="s">
        <v>197</v>
      </c>
      <c r="F488" s="12" t="s">
        <v>57</v>
      </c>
      <c r="G488" s="53">
        <f>0.7-0.7</f>
        <v>0</v>
      </c>
      <c r="H488" s="111"/>
      <c r="I488" s="112"/>
      <c r="J488" s="111"/>
      <c r="K488" s="76"/>
      <c r="L488" s="75"/>
      <c r="M488" s="75"/>
      <c r="AG488" s="75"/>
      <c r="AH488" s="75"/>
    </row>
    <row r="489" spans="1:85" hidden="1" outlineLevel="1" x14ac:dyDescent="0.3">
      <c r="A489" s="138" t="s">
        <v>409</v>
      </c>
      <c r="B489" s="47">
        <v>918</v>
      </c>
      <c r="C489" s="6" t="s">
        <v>130</v>
      </c>
      <c r="D489" s="6" t="s">
        <v>115</v>
      </c>
      <c r="E489" s="12" t="s">
        <v>90</v>
      </c>
      <c r="F489" s="12" t="s">
        <v>50</v>
      </c>
      <c r="G489" s="53">
        <f>G490</f>
        <v>0</v>
      </c>
      <c r="H489" s="111"/>
      <c r="I489" s="112"/>
      <c r="J489" s="111"/>
      <c r="K489" s="76"/>
      <c r="L489" s="75"/>
      <c r="M489" s="75"/>
      <c r="AG489" s="75"/>
      <c r="AH489" s="75"/>
    </row>
    <row r="490" spans="1:85" ht="37.5" hidden="1" outlineLevel="1" x14ac:dyDescent="0.3">
      <c r="A490" s="138" t="s">
        <v>937</v>
      </c>
      <c r="B490" s="47">
        <v>918</v>
      </c>
      <c r="C490" s="6" t="s">
        <v>130</v>
      </c>
      <c r="D490" s="6" t="s">
        <v>115</v>
      </c>
      <c r="E490" s="12" t="s">
        <v>936</v>
      </c>
      <c r="F490" s="12" t="s">
        <v>50</v>
      </c>
      <c r="G490" s="53">
        <f>G491</f>
        <v>0</v>
      </c>
      <c r="H490" s="111"/>
      <c r="I490" s="112"/>
      <c r="J490" s="111"/>
      <c r="K490" s="76"/>
      <c r="L490" s="75"/>
      <c r="M490" s="75"/>
      <c r="AG490" s="75"/>
      <c r="AH490" s="75"/>
    </row>
    <row r="491" spans="1:85" ht="37.5" hidden="1" outlineLevel="1" x14ac:dyDescent="0.3">
      <c r="A491" s="138" t="s">
        <v>425</v>
      </c>
      <c r="B491" s="47">
        <v>918</v>
      </c>
      <c r="C491" s="6" t="s">
        <v>130</v>
      </c>
      <c r="D491" s="6" t="s">
        <v>115</v>
      </c>
      <c r="E491" s="12" t="s">
        <v>936</v>
      </c>
      <c r="F491" s="12" t="s">
        <v>59</v>
      </c>
      <c r="G491" s="53">
        <v>0</v>
      </c>
      <c r="H491" s="111"/>
      <c r="I491" s="112"/>
      <c r="J491" s="111"/>
      <c r="K491" s="76"/>
      <c r="L491" s="75"/>
      <c r="M491" s="75"/>
      <c r="AG491" s="75"/>
      <c r="AH491" s="75"/>
      <c r="CG491" s="187">
        <v>83.1</v>
      </c>
    </row>
    <row r="492" spans="1:85" ht="56.25" collapsed="1" x14ac:dyDescent="0.3">
      <c r="A492" s="198" t="s">
        <v>349</v>
      </c>
      <c r="B492" s="8">
        <v>936</v>
      </c>
      <c r="C492" s="9" t="s">
        <v>112</v>
      </c>
      <c r="D492" s="9" t="s">
        <v>112</v>
      </c>
      <c r="E492" s="9" t="s">
        <v>49</v>
      </c>
      <c r="F492" s="9" t="s">
        <v>50</v>
      </c>
      <c r="G492" s="67">
        <f>G493+G622+G695+G900+G1131+G1148+G1278+G1401+G1490+G1368+G1556</f>
        <v>1122848.1137600001</v>
      </c>
      <c r="H492" s="111"/>
      <c r="I492" s="112"/>
      <c r="J492" s="111"/>
      <c r="K492" s="76"/>
      <c r="L492" s="75"/>
      <c r="M492" s="75"/>
      <c r="AG492" s="75"/>
      <c r="AH492" s="75"/>
    </row>
    <row r="493" spans="1:85" x14ac:dyDescent="0.3">
      <c r="A493" s="197" t="s">
        <v>114</v>
      </c>
      <c r="B493" s="10">
        <v>936</v>
      </c>
      <c r="C493" s="7" t="s">
        <v>115</v>
      </c>
      <c r="D493" s="7" t="s">
        <v>112</v>
      </c>
      <c r="E493" s="7" t="s">
        <v>49</v>
      </c>
      <c r="F493" s="7" t="s">
        <v>50</v>
      </c>
      <c r="G493" s="64">
        <f>G494+G504+G535+G547+G540</f>
        <v>90864.460359999997</v>
      </c>
      <c r="H493" s="111"/>
      <c r="I493" s="112"/>
      <c r="J493" s="111"/>
      <c r="K493" s="76"/>
      <c r="L493" s="75"/>
      <c r="M493" s="75"/>
      <c r="AG493" s="75"/>
      <c r="AH493" s="75"/>
    </row>
    <row r="494" spans="1:85" ht="60" customHeight="1" x14ac:dyDescent="0.3">
      <c r="A494" s="197" t="s">
        <v>201</v>
      </c>
      <c r="B494" s="10">
        <v>936</v>
      </c>
      <c r="C494" s="7" t="s">
        <v>115</v>
      </c>
      <c r="D494" s="7" t="s">
        <v>116</v>
      </c>
      <c r="E494" s="7" t="s">
        <v>49</v>
      </c>
      <c r="F494" s="7" t="s">
        <v>50</v>
      </c>
      <c r="G494" s="64">
        <f>G495</f>
        <v>2817.7</v>
      </c>
      <c r="H494" s="111"/>
      <c r="I494" s="112"/>
      <c r="J494" s="111"/>
      <c r="K494" s="76"/>
      <c r="L494" s="75"/>
      <c r="M494" s="75"/>
      <c r="AG494" s="75"/>
      <c r="AH494" s="75"/>
    </row>
    <row r="495" spans="1:85" ht="56.25" x14ac:dyDescent="0.3">
      <c r="A495" s="200" t="s">
        <v>16</v>
      </c>
      <c r="B495" s="11">
        <v>936</v>
      </c>
      <c r="C495" s="12" t="s">
        <v>115</v>
      </c>
      <c r="D495" s="12" t="s">
        <v>116</v>
      </c>
      <c r="E495" s="13" t="s">
        <v>202</v>
      </c>
      <c r="F495" s="12" t="s">
        <v>50</v>
      </c>
      <c r="G495" s="53">
        <f>G496+G502</f>
        <v>2817.7</v>
      </c>
      <c r="H495" s="111"/>
      <c r="I495" s="112"/>
      <c r="J495" s="111"/>
      <c r="K495" s="76"/>
      <c r="L495" s="75"/>
      <c r="M495" s="75"/>
      <c r="AG495" s="75"/>
      <c r="AH495" s="75"/>
    </row>
    <row r="496" spans="1:85" ht="39.75" customHeight="1" x14ac:dyDescent="0.3">
      <c r="A496" s="157" t="s">
        <v>18</v>
      </c>
      <c r="B496" s="11">
        <v>936</v>
      </c>
      <c r="C496" s="12" t="s">
        <v>115</v>
      </c>
      <c r="D496" s="12" t="s">
        <v>116</v>
      </c>
      <c r="E496" s="13" t="s">
        <v>203</v>
      </c>
      <c r="F496" s="12" t="s">
        <v>50</v>
      </c>
      <c r="G496" s="53">
        <f>G497</f>
        <v>2652.7</v>
      </c>
      <c r="H496" s="111"/>
      <c r="I496" s="112"/>
      <c r="J496" s="111"/>
      <c r="K496" s="76"/>
      <c r="L496" s="75"/>
      <c r="M496" s="75"/>
      <c r="AG496" s="75"/>
      <c r="AH496" s="75"/>
    </row>
    <row r="497" spans="1:116" ht="77.25" customHeight="1" x14ac:dyDescent="0.3">
      <c r="A497" s="138" t="s">
        <v>103</v>
      </c>
      <c r="B497" s="11">
        <v>936</v>
      </c>
      <c r="C497" s="12" t="s">
        <v>115</v>
      </c>
      <c r="D497" s="12" t="s">
        <v>116</v>
      </c>
      <c r="E497" s="13" t="s">
        <v>36</v>
      </c>
      <c r="F497" s="12" t="s">
        <v>50</v>
      </c>
      <c r="G497" s="53">
        <f>G498</f>
        <v>2652.7</v>
      </c>
      <c r="H497" s="111"/>
      <c r="I497" s="112"/>
      <c r="J497" s="111"/>
      <c r="K497" s="76"/>
      <c r="L497" s="75"/>
      <c r="M497" s="75"/>
      <c r="AG497" s="75"/>
      <c r="AH497" s="75"/>
    </row>
    <row r="498" spans="1:116" x14ac:dyDescent="0.3">
      <c r="A498" s="138" t="s">
        <v>204</v>
      </c>
      <c r="B498" s="11">
        <v>936</v>
      </c>
      <c r="C498" s="12" t="s">
        <v>115</v>
      </c>
      <c r="D498" s="12" t="s">
        <v>116</v>
      </c>
      <c r="E498" s="13" t="s">
        <v>361</v>
      </c>
      <c r="F498" s="12" t="s">
        <v>50</v>
      </c>
      <c r="G498" s="53">
        <f>G499+G500</f>
        <v>2652.7</v>
      </c>
      <c r="H498" s="111"/>
      <c r="I498" s="112"/>
      <c r="J498" s="111"/>
      <c r="K498" s="76"/>
      <c r="L498" s="75"/>
      <c r="M498" s="75"/>
      <c r="AG498" s="75"/>
      <c r="AH498" s="75"/>
    </row>
    <row r="499" spans="1:116" ht="93.75" x14ac:dyDescent="0.3">
      <c r="A499" s="138" t="s">
        <v>56</v>
      </c>
      <c r="B499" s="11">
        <v>936</v>
      </c>
      <c r="C499" s="12" t="s">
        <v>115</v>
      </c>
      <c r="D499" s="12" t="s">
        <v>116</v>
      </c>
      <c r="E499" s="13" t="s">
        <v>205</v>
      </c>
      <c r="F499" s="13" t="s">
        <v>57</v>
      </c>
      <c r="G499" s="53">
        <f>CS499+CX499+CY499+DF499-1.2</f>
        <v>1892.6999999999998</v>
      </c>
      <c r="H499" s="120">
        <v>1618.4</v>
      </c>
      <c r="I499" s="121"/>
      <c r="J499" s="120"/>
      <c r="K499" s="76"/>
      <c r="L499" s="75"/>
      <c r="M499" s="75"/>
      <c r="AG499" s="75"/>
      <c r="AH499" s="75"/>
      <c r="AK499" s="75">
        <v>1443.7</v>
      </c>
      <c r="AV499" s="187">
        <f>5.0604+0.9</f>
        <v>5.9603999999999999</v>
      </c>
      <c r="AX499" s="96">
        <v>30.4</v>
      </c>
      <c r="BH499" s="225">
        <v>21.469100000000001</v>
      </c>
      <c r="BM499" s="95">
        <v>1786.1</v>
      </c>
      <c r="CF499" s="187">
        <v>3.7</v>
      </c>
      <c r="CJ499" s="187">
        <v>49</v>
      </c>
      <c r="CP499" s="251">
        <v>212.7</v>
      </c>
      <c r="CS499" s="255">
        <v>1786.1</v>
      </c>
      <c r="CX499" s="260">
        <v>12.8</v>
      </c>
      <c r="CY499" s="187">
        <v>86</v>
      </c>
      <c r="DF499" s="187">
        <v>9</v>
      </c>
    </row>
    <row r="500" spans="1:116" ht="37.5" x14ac:dyDescent="0.3">
      <c r="A500" s="157" t="s">
        <v>374</v>
      </c>
      <c r="B500" s="11">
        <v>936</v>
      </c>
      <c r="C500" s="12" t="s">
        <v>115</v>
      </c>
      <c r="D500" s="12" t="s">
        <v>116</v>
      </c>
      <c r="E500" s="13" t="s">
        <v>514</v>
      </c>
      <c r="F500" s="13" t="s">
        <v>50</v>
      </c>
      <c r="G500" s="53">
        <f>G501</f>
        <v>760</v>
      </c>
      <c r="H500" s="111"/>
      <c r="I500" s="112"/>
      <c r="J500" s="111"/>
      <c r="K500" s="76"/>
      <c r="L500" s="75"/>
      <c r="M500" s="75"/>
      <c r="AG500" s="75"/>
      <c r="AH500" s="75"/>
    </row>
    <row r="501" spans="1:116" ht="93.75" x14ac:dyDescent="0.3">
      <c r="A501" s="138" t="s">
        <v>56</v>
      </c>
      <c r="B501" s="11">
        <v>936</v>
      </c>
      <c r="C501" s="12" t="s">
        <v>115</v>
      </c>
      <c r="D501" s="12" t="s">
        <v>116</v>
      </c>
      <c r="E501" s="13" t="s">
        <v>514</v>
      </c>
      <c r="F501" s="13" t="s">
        <v>57</v>
      </c>
      <c r="G501" s="53">
        <f>DI501</f>
        <v>760</v>
      </c>
      <c r="H501" s="111"/>
      <c r="I501" s="112"/>
      <c r="J501" s="111"/>
      <c r="K501" s="76"/>
      <c r="L501" s="75"/>
      <c r="M501" s="75"/>
      <c r="AG501" s="75">
        <v>95.8</v>
      </c>
      <c r="AH501" s="75"/>
      <c r="AK501" s="75">
        <v>0</v>
      </c>
      <c r="BK501" s="218">
        <v>157</v>
      </c>
      <c r="DI501" s="260">
        <v>760</v>
      </c>
    </row>
    <row r="502" spans="1:116" ht="56.25" x14ac:dyDescent="0.3">
      <c r="A502" s="138" t="s">
        <v>946</v>
      </c>
      <c r="B502" s="11">
        <v>936</v>
      </c>
      <c r="C502" s="12" t="s">
        <v>115</v>
      </c>
      <c r="D502" s="12" t="s">
        <v>116</v>
      </c>
      <c r="E502" s="12" t="s">
        <v>947</v>
      </c>
      <c r="F502" s="18" t="s">
        <v>50</v>
      </c>
      <c r="G502" s="53">
        <f>G503</f>
        <v>165</v>
      </c>
      <c r="H502" s="111"/>
      <c r="I502" s="112"/>
      <c r="J502" s="111"/>
      <c r="K502" s="76"/>
      <c r="L502" s="75"/>
      <c r="M502" s="75"/>
      <c r="AG502" s="75"/>
      <c r="AH502" s="75"/>
    </row>
    <row r="503" spans="1:116" ht="93.75" x14ac:dyDescent="0.3">
      <c r="A503" s="138" t="s">
        <v>56</v>
      </c>
      <c r="B503" s="11">
        <v>936</v>
      </c>
      <c r="C503" s="12" t="s">
        <v>115</v>
      </c>
      <c r="D503" s="12" t="s">
        <v>116</v>
      </c>
      <c r="E503" s="12" t="s">
        <v>947</v>
      </c>
      <c r="F503" s="12" t="s">
        <v>57</v>
      </c>
      <c r="G503" s="53">
        <f>DK503</f>
        <v>165</v>
      </c>
      <c r="H503" s="111"/>
      <c r="I503" s="112"/>
      <c r="J503" s="111"/>
      <c r="K503" s="76"/>
      <c r="L503" s="75"/>
      <c r="M503" s="75"/>
      <c r="AG503" s="75"/>
      <c r="AH503" s="75"/>
      <c r="DK503" s="260">
        <v>165</v>
      </c>
    </row>
    <row r="504" spans="1:116" ht="75" x14ac:dyDescent="0.3">
      <c r="A504" s="197" t="s">
        <v>120</v>
      </c>
      <c r="B504" s="10">
        <v>936</v>
      </c>
      <c r="C504" s="7" t="s">
        <v>115</v>
      </c>
      <c r="D504" s="7" t="s">
        <v>121</v>
      </c>
      <c r="E504" s="7" t="s">
        <v>49</v>
      </c>
      <c r="F504" s="7" t="s">
        <v>50</v>
      </c>
      <c r="G504" s="64">
        <f>G505+G519</f>
        <v>45640.759999999995</v>
      </c>
      <c r="H504" s="111"/>
      <c r="I504" s="112"/>
      <c r="J504" s="111"/>
      <c r="K504" s="76"/>
      <c r="L504" s="75"/>
      <c r="M504" s="75"/>
      <c r="AG504" s="75"/>
      <c r="AH504" s="75"/>
    </row>
    <row r="505" spans="1:116" ht="56.25" x14ac:dyDescent="0.3">
      <c r="A505" s="151" t="s">
        <v>0</v>
      </c>
      <c r="B505" s="11">
        <v>936</v>
      </c>
      <c r="C505" s="12" t="s">
        <v>115</v>
      </c>
      <c r="D505" s="12" t="s">
        <v>121</v>
      </c>
      <c r="E505" s="13" t="s">
        <v>92</v>
      </c>
      <c r="F505" s="12" t="s">
        <v>50</v>
      </c>
      <c r="G505" s="53">
        <f>G506+G514</f>
        <v>4069.5</v>
      </c>
      <c r="H505" s="111"/>
      <c r="I505" s="112"/>
      <c r="J505" s="111"/>
      <c r="K505" s="76"/>
      <c r="L505" s="75"/>
      <c r="M505" s="75"/>
      <c r="AG505" s="75"/>
      <c r="AH505" s="75"/>
    </row>
    <row r="506" spans="1:116" ht="44.25" customHeight="1" x14ac:dyDescent="0.3">
      <c r="A506" s="151" t="s">
        <v>1</v>
      </c>
      <c r="B506" s="11">
        <v>936</v>
      </c>
      <c r="C506" s="12" t="s">
        <v>115</v>
      </c>
      <c r="D506" s="12" t="s">
        <v>121</v>
      </c>
      <c r="E506" s="13" t="s">
        <v>93</v>
      </c>
      <c r="F506" s="12" t="s">
        <v>50</v>
      </c>
      <c r="G506" s="53">
        <f>G507</f>
        <v>1402</v>
      </c>
      <c r="H506" s="111"/>
      <c r="I506" s="112"/>
      <c r="J506" s="111"/>
      <c r="K506" s="76"/>
      <c r="L506" s="75"/>
      <c r="M506" s="75"/>
      <c r="AG506" s="75"/>
      <c r="AH506" s="75"/>
    </row>
    <row r="507" spans="1:116" ht="75" x14ac:dyDescent="0.3">
      <c r="A507" s="138" t="s">
        <v>173</v>
      </c>
      <c r="B507" s="11">
        <v>936</v>
      </c>
      <c r="C507" s="12" t="s">
        <v>115</v>
      </c>
      <c r="D507" s="12" t="s">
        <v>121</v>
      </c>
      <c r="E507" s="12" t="s">
        <v>846</v>
      </c>
      <c r="F507" s="12" t="s">
        <v>50</v>
      </c>
      <c r="G507" s="53">
        <f>G508+G511</f>
        <v>1402</v>
      </c>
      <c r="H507" s="111"/>
      <c r="I507" s="112"/>
      <c r="J507" s="111"/>
      <c r="K507" s="76"/>
      <c r="L507" s="75"/>
      <c r="M507" s="75"/>
      <c r="AG507" s="75"/>
      <c r="AH507" s="75"/>
    </row>
    <row r="508" spans="1:116" ht="37.5" hidden="1" outlineLevel="1" x14ac:dyDescent="0.3">
      <c r="A508" s="138" t="s">
        <v>206</v>
      </c>
      <c r="B508" s="11">
        <v>936</v>
      </c>
      <c r="C508" s="12" t="s">
        <v>115</v>
      </c>
      <c r="D508" s="12" t="s">
        <v>121</v>
      </c>
      <c r="E508" s="12" t="s">
        <v>207</v>
      </c>
      <c r="F508" s="12" t="s">
        <v>50</v>
      </c>
      <c r="G508" s="53">
        <f>G509+G510</f>
        <v>0</v>
      </c>
      <c r="H508" s="111"/>
      <c r="I508" s="112"/>
      <c r="J508" s="111"/>
      <c r="K508" s="76"/>
      <c r="L508" s="75"/>
      <c r="M508" s="75"/>
      <c r="AG508" s="75"/>
      <c r="AH508" s="75"/>
    </row>
    <row r="509" spans="1:116" ht="93.75" hidden="1" outlineLevel="1" x14ac:dyDescent="0.3">
      <c r="A509" s="138" t="s">
        <v>56</v>
      </c>
      <c r="B509" s="11">
        <v>936</v>
      </c>
      <c r="C509" s="12" t="s">
        <v>115</v>
      </c>
      <c r="D509" s="12" t="s">
        <v>121</v>
      </c>
      <c r="E509" s="12" t="s">
        <v>207</v>
      </c>
      <c r="F509" s="12" t="s">
        <v>57</v>
      </c>
      <c r="G509" s="68"/>
      <c r="H509" s="111"/>
      <c r="I509" s="112"/>
      <c r="J509" s="111"/>
      <c r="K509" s="76"/>
      <c r="L509" s="75"/>
      <c r="M509" s="75"/>
      <c r="AG509" s="75"/>
      <c r="AH509" s="75"/>
    </row>
    <row r="510" spans="1:116" ht="37.5" hidden="1" outlineLevel="1" x14ac:dyDescent="0.3">
      <c r="A510" s="138" t="s">
        <v>58</v>
      </c>
      <c r="B510" s="11">
        <v>936</v>
      </c>
      <c r="C510" s="12" t="s">
        <v>115</v>
      </c>
      <c r="D510" s="12" t="s">
        <v>121</v>
      </c>
      <c r="E510" s="12" t="s">
        <v>207</v>
      </c>
      <c r="F510" s="12" t="s">
        <v>59</v>
      </c>
      <c r="G510" s="68"/>
      <c r="H510" s="111"/>
      <c r="I510" s="112"/>
      <c r="J510" s="111"/>
      <c r="K510" s="76"/>
      <c r="L510" s="75"/>
      <c r="M510" s="75"/>
      <c r="AG510" s="75"/>
      <c r="AH510" s="75"/>
    </row>
    <row r="511" spans="1:116" ht="123" customHeight="1" collapsed="1" x14ac:dyDescent="0.3">
      <c r="A511" s="138" t="s">
        <v>532</v>
      </c>
      <c r="B511" s="11">
        <v>936</v>
      </c>
      <c r="C511" s="12" t="s">
        <v>115</v>
      </c>
      <c r="D511" s="12" t="s">
        <v>121</v>
      </c>
      <c r="E511" s="12" t="s">
        <v>851</v>
      </c>
      <c r="F511" s="12" t="s">
        <v>50</v>
      </c>
      <c r="G511" s="53">
        <f>G512+G513</f>
        <v>1402</v>
      </c>
      <c r="H511" s="111"/>
      <c r="I511" s="112"/>
      <c r="J511" s="111"/>
      <c r="K511" s="76"/>
      <c r="L511" s="75"/>
      <c r="M511" s="75"/>
      <c r="AG511" s="75"/>
      <c r="AH511" s="75"/>
    </row>
    <row r="512" spans="1:116" ht="93.75" x14ac:dyDescent="0.3">
      <c r="A512" s="138" t="s">
        <v>56</v>
      </c>
      <c r="B512" s="11">
        <v>936</v>
      </c>
      <c r="C512" s="12" t="s">
        <v>115</v>
      </c>
      <c r="D512" s="12" t="s">
        <v>121</v>
      </c>
      <c r="E512" s="12" t="s">
        <v>851</v>
      </c>
      <c r="F512" s="12" t="s">
        <v>57</v>
      </c>
      <c r="G512" s="53">
        <f>CQ512+DI512+DL512</f>
        <v>1397</v>
      </c>
      <c r="H512" s="111"/>
      <c r="I512" s="112">
        <v>1070.4000000000001</v>
      </c>
      <c r="J512" s="111"/>
      <c r="K512" s="76"/>
      <c r="L512" s="75"/>
      <c r="M512" s="75"/>
      <c r="AG512" s="75">
        <v>41.3</v>
      </c>
      <c r="AH512" s="75"/>
      <c r="AK512" s="75">
        <v>942.2</v>
      </c>
      <c r="BK512" s="218">
        <v>26.8</v>
      </c>
      <c r="BO512" s="230">
        <v>1176</v>
      </c>
      <c r="CQ512" s="94">
        <v>1176</v>
      </c>
      <c r="DI512" s="260">
        <v>150</v>
      </c>
      <c r="DL512" s="260">
        <v>71</v>
      </c>
    </row>
    <row r="513" spans="1:118" ht="37.5" x14ac:dyDescent="0.3">
      <c r="A513" s="138" t="s">
        <v>425</v>
      </c>
      <c r="B513" s="11">
        <v>936</v>
      </c>
      <c r="C513" s="12" t="s">
        <v>115</v>
      </c>
      <c r="D513" s="12" t="s">
        <v>121</v>
      </c>
      <c r="E513" s="12" t="s">
        <v>851</v>
      </c>
      <c r="F513" s="12" t="s">
        <v>59</v>
      </c>
      <c r="G513" s="53">
        <f>CQ513+DL513</f>
        <v>5</v>
      </c>
      <c r="H513" s="120"/>
      <c r="I513" s="121">
        <v>69.599999999999994</v>
      </c>
      <c r="J513" s="120"/>
      <c r="K513" s="76"/>
      <c r="L513" s="75"/>
      <c r="M513" s="75"/>
      <c r="AG513" s="75"/>
      <c r="AH513" s="75"/>
      <c r="AK513" s="75">
        <v>72.8</v>
      </c>
      <c r="BO513" s="230">
        <v>66</v>
      </c>
      <c r="CQ513" s="94">
        <v>76</v>
      </c>
      <c r="DL513" s="260">
        <v>-71</v>
      </c>
    </row>
    <row r="514" spans="1:118" ht="59.25" customHeight="1" x14ac:dyDescent="0.3">
      <c r="A514" s="151" t="s">
        <v>3</v>
      </c>
      <c r="B514" s="11">
        <v>936</v>
      </c>
      <c r="C514" s="12" t="s">
        <v>115</v>
      </c>
      <c r="D514" s="12" t="s">
        <v>121</v>
      </c>
      <c r="E514" s="12" t="s">
        <v>94</v>
      </c>
      <c r="F514" s="12" t="s">
        <v>50</v>
      </c>
      <c r="G514" s="53">
        <f>G515</f>
        <v>2667.5</v>
      </c>
      <c r="H514" s="111"/>
      <c r="I514" s="112"/>
      <c r="J514" s="111"/>
      <c r="K514" s="76"/>
      <c r="L514" s="75"/>
      <c r="M514" s="75"/>
      <c r="AG514" s="75"/>
      <c r="AH514" s="75"/>
    </row>
    <row r="515" spans="1:118" ht="75" x14ac:dyDescent="0.3">
      <c r="A515" s="138" t="s">
        <v>173</v>
      </c>
      <c r="B515" s="11">
        <v>936</v>
      </c>
      <c r="C515" s="12" t="s">
        <v>115</v>
      </c>
      <c r="D515" s="12" t="s">
        <v>121</v>
      </c>
      <c r="E515" s="12" t="s">
        <v>846</v>
      </c>
      <c r="F515" s="12" t="s">
        <v>50</v>
      </c>
      <c r="G515" s="53">
        <f>G516</f>
        <v>2667.5</v>
      </c>
      <c r="H515" s="111"/>
      <c r="I515" s="112"/>
      <c r="J515" s="111"/>
      <c r="K515" s="76"/>
      <c r="L515" s="75"/>
      <c r="M515" s="75"/>
      <c r="AG515" s="75"/>
      <c r="AH515" s="75"/>
    </row>
    <row r="516" spans="1:118" ht="37.5" x14ac:dyDescent="0.3">
      <c r="A516" s="138" t="s">
        <v>206</v>
      </c>
      <c r="B516" s="11">
        <v>936</v>
      </c>
      <c r="C516" s="12" t="s">
        <v>115</v>
      </c>
      <c r="D516" s="12" t="s">
        <v>121</v>
      </c>
      <c r="E516" s="12" t="s">
        <v>845</v>
      </c>
      <c r="F516" s="12" t="s">
        <v>50</v>
      </c>
      <c r="G516" s="53">
        <f>G517+G518</f>
        <v>2667.5</v>
      </c>
      <c r="H516" s="111"/>
      <c r="I516" s="112"/>
      <c r="J516" s="111"/>
      <c r="K516" s="76"/>
      <c r="L516" s="75"/>
      <c r="M516" s="75"/>
      <c r="AG516" s="75"/>
      <c r="AH516" s="75"/>
    </row>
    <row r="517" spans="1:118" ht="93.75" x14ac:dyDescent="0.3">
      <c r="A517" s="138" t="s">
        <v>56</v>
      </c>
      <c r="B517" s="11">
        <v>936</v>
      </c>
      <c r="C517" s="12" t="s">
        <v>115</v>
      </c>
      <c r="D517" s="12" t="s">
        <v>121</v>
      </c>
      <c r="E517" s="12" t="s">
        <v>845</v>
      </c>
      <c r="F517" s="12" t="s">
        <v>57</v>
      </c>
      <c r="G517" s="68">
        <f>CQ517+DI517+DN517</f>
        <v>2632.7</v>
      </c>
      <c r="H517" s="111"/>
      <c r="I517" s="112">
        <v>2476.1999999999998</v>
      </c>
      <c r="J517" s="111"/>
      <c r="K517" s="76"/>
      <c r="L517" s="75"/>
      <c r="M517" s="75"/>
      <c r="AG517" s="75">
        <v>103.3</v>
      </c>
      <c r="AH517" s="75"/>
      <c r="AK517" s="75">
        <v>2459.1</v>
      </c>
      <c r="BK517" s="218">
        <v>61.9</v>
      </c>
      <c r="BL517" s="187">
        <v>49.555</v>
      </c>
      <c r="BO517" s="230">
        <v>2484.9</v>
      </c>
      <c r="CQ517" s="94">
        <v>2190</v>
      </c>
      <c r="DI517" s="260">
        <v>433.5</v>
      </c>
      <c r="DN517" s="260">
        <v>9.1999999999999993</v>
      </c>
    </row>
    <row r="518" spans="1:118" ht="37.5" x14ac:dyDescent="0.3">
      <c r="A518" s="138" t="s">
        <v>425</v>
      </c>
      <c r="B518" s="11">
        <v>936</v>
      </c>
      <c r="C518" s="12" t="s">
        <v>115</v>
      </c>
      <c r="D518" s="12" t="s">
        <v>121</v>
      </c>
      <c r="E518" s="12" t="s">
        <v>845</v>
      </c>
      <c r="F518" s="12" t="s">
        <v>59</v>
      </c>
      <c r="G518" s="68">
        <f>CQ518+DN518</f>
        <v>34.799999999999997</v>
      </c>
      <c r="H518" s="111"/>
      <c r="I518" s="112">
        <v>127.8</v>
      </c>
      <c r="J518" s="111"/>
      <c r="K518" s="76"/>
      <c r="L518" s="75"/>
      <c r="M518" s="75"/>
      <c r="AG518" s="75"/>
      <c r="AH518" s="75"/>
      <c r="AK518" s="75">
        <v>106.9</v>
      </c>
      <c r="BL518" s="187">
        <v>-49.555</v>
      </c>
      <c r="BO518" s="230">
        <v>41.1</v>
      </c>
      <c r="CQ518" s="94">
        <v>44</v>
      </c>
      <c r="DN518" s="260">
        <v>-9.1999999999999993</v>
      </c>
    </row>
    <row r="519" spans="1:118" ht="56.25" x14ac:dyDescent="0.3">
      <c r="A519" s="200" t="s">
        <v>16</v>
      </c>
      <c r="B519" s="11">
        <v>936</v>
      </c>
      <c r="C519" s="12" t="s">
        <v>115</v>
      </c>
      <c r="D519" s="12" t="s">
        <v>121</v>
      </c>
      <c r="E519" s="13" t="s">
        <v>32</v>
      </c>
      <c r="F519" s="13" t="s">
        <v>50</v>
      </c>
      <c r="G519" s="53">
        <f>G520+G533</f>
        <v>41571.259999999995</v>
      </c>
      <c r="H519" s="111"/>
      <c r="I519" s="112"/>
      <c r="J519" s="111"/>
      <c r="K519" s="76"/>
      <c r="L519" s="75"/>
      <c r="M519" s="75"/>
      <c r="AG519" s="75"/>
      <c r="AH519" s="75"/>
    </row>
    <row r="520" spans="1:118" ht="43.5" customHeight="1" x14ac:dyDescent="0.3">
      <c r="A520" s="157" t="s">
        <v>18</v>
      </c>
      <c r="B520" s="11">
        <v>936</v>
      </c>
      <c r="C520" s="12" t="s">
        <v>115</v>
      </c>
      <c r="D520" s="12" t="s">
        <v>121</v>
      </c>
      <c r="E520" s="13" t="s">
        <v>34</v>
      </c>
      <c r="F520" s="13" t="s">
        <v>50</v>
      </c>
      <c r="G520" s="53">
        <f>G521</f>
        <v>41015.616999999998</v>
      </c>
      <c r="H520" s="111"/>
      <c r="I520" s="112"/>
      <c r="J520" s="111"/>
      <c r="K520" s="76"/>
      <c r="L520" s="75"/>
      <c r="M520" s="75"/>
      <c r="AG520" s="75"/>
      <c r="AH520" s="75"/>
    </row>
    <row r="521" spans="1:118" ht="75" x14ac:dyDescent="0.3">
      <c r="A521" s="138" t="s">
        <v>103</v>
      </c>
      <c r="B521" s="11">
        <v>936</v>
      </c>
      <c r="C521" s="12" t="s">
        <v>115</v>
      </c>
      <c r="D521" s="12" t="s">
        <v>121</v>
      </c>
      <c r="E521" s="13" t="s">
        <v>36</v>
      </c>
      <c r="F521" s="13" t="s">
        <v>50</v>
      </c>
      <c r="G521" s="53">
        <f>G522+G529</f>
        <v>41015.616999999998</v>
      </c>
      <c r="H521" s="111"/>
      <c r="I521" s="112"/>
      <c r="J521" s="111"/>
      <c r="K521" s="76"/>
      <c r="L521" s="75"/>
      <c r="M521" s="75"/>
      <c r="AG521" s="75"/>
      <c r="AH521" s="75"/>
    </row>
    <row r="522" spans="1:118" x14ac:dyDescent="0.3">
      <c r="A522" s="138" t="s">
        <v>104</v>
      </c>
      <c r="B522" s="11">
        <v>936</v>
      </c>
      <c r="C522" s="12" t="s">
        <v>115</v>
      </c>
      <c r="D522" s="12" t="s">
        <v>121</v>
      </c>
      <c r="E522" s="12" t="s">
        <v>37</v>
      </c>
      <c r="F522" s="13" t="s">
        <v>50</v>
      </c>
      <c r="G522" s="53">
        <f>G523+G524+G525+G526+G527</f>
        <v>35400.616999999998</v>
      </c>
      <c r="H522" s="111"/>
      <c r="I522" s="112"/>
      <c r="J522" s="111"/>
      <c r="K522" s="76"/>
      <c r="L522" s="75"/>
      <c r="M522" s="75"/>
      <c r="AG522" s="75"/>
      <c r="AH522" s="75"/>
    </row>
    <row r="523" spans="1:118" ht="93.75" x14ac:dyDescent="0.3">
      <c r="A523" s="138" t="s">
        <v>56</v>
      </c>
      <c r="B523" s="11">
        <v>936</v>
      </c>
      <c r="C523" s="12" t="s">
        <v>115</v>
      </c>
      <c r="D523" s="12" t="s">
        <v>121</v>
      </c>
      <c r="E523" s="13" t="s">
        <v>37</v>
      </c>
      <c r="F523" s="13" t="s">
        <v>57</v>
      </c>
      <c r="G523" s="53">
        <f>CS523+CV523+CX522+CX523+0.6+DN523</f>
        <v>26106.499999999996</v>
      </c>
      <c r="H523" s="120">
        <v>21572.6</v>
      </c>
      <c r="I523" s="121"/>
      <c r="J523" s="120"/>
      <c r="K523" s="76"/>
      <c r="L523" s="75"/>
      <c r="M523" s="75"/>
      <c r="N523">
        <v>13.2</v>
      </c>
      <c r="T523">
        <v>4</v>
      </c>
      <c r="AG523" s="75"/>
      <c r="AH523" s="75"/>
      <c r="AK523" s="75">
        <v>18842.099999999999</v>
      </c>
      <c r="BL523" s="187">
        <v>6.3220000000000001</v>
      </c>
      <c r="BM523" s="95">
        <v>23651.5</v>
      </c>
      <c r="CB523" s="218">
        <v>1.5</v>
      </c>
      <c r="CF523" s="187">
        <v>1</v>
      </c>
      <c r="CP523" s="251">
        <f>1426+5</f>
        <v>1431</v>
      </c>
      <c r="CS523" s="255">
        <v>25460.5</v>
      </c>
      <c r="CV523" s="259">
        <f>81+0.8</f>
        <v>81.8</v>
      </c>
      <c r="CX523" s="260">
        <v>15.5</v>
      </c>
      <c r="DN523" s="260">
        <f>14.2+533.9</f>
        <v>548.1</v>
      </c>
    </row>
    <row r="524" spans="1:118" ht="37.5" x14ac:dyDescent="0.3">
      <c r="A524" s="138" t="s">
        <v>425</v>
      </c>
      <c r="B524" s="11">
        <v>936</v>
      </c>
      <c r="C524" s="12" t="s">
        <v>115</v>
      </c>
      <c r="D524" s="12" t="s">
        <v>121</v>
      </c>
      <c r="E524" s="13" t="s">
        <v>37</v>
      </c>
      <c r="F524" s="13" t="s">
        <v>59</v>
      </c>
      <c r="G524" s="53">
        <f>CR524+CS524+DJ524+DN524</f>
        <v>4707.8</v>
      </c>
      <c r="H524" s="111">
        <v>3392</v>
      </c>
      <c r="I524" s="112"/>
      <c r="J524" s="111"/>
      <c r="K524" s="76"/>
      <c r="L524" s="75"/>
      <c r="M524" s="75"/>
      <c r="T524">
        <f>77+45</f>
        <v>122</v>
      </c>
      <c r="U524">
        <f>-45-5</f>
        <v>-50</v>
      </c>
      <c r="AG524" s="75"/>
      <c r="AH524" s="75"/>
      <c r="AI524">
        <v>90</v>
      </c>
      <c r="AK524" s="75">
        <v>3083.6</v>
      </c>
      <c r="AS524" s="187">
        <f>30+44-2.71857</f>
        <v>71.28143</v>
      </c>
      <c r="AV524" s="187">
        <v>24.0396</v>
      </c>
      <c r="BB524" s="187">
        <v>-53.228630000000003</v>
      </c>
      <c r="BH524" s="225">
        <f>-21.87+53</f>
        <v>31.13</v>
      </c>
      <c r="BJ524" s="187">
        <v>-4</v>
      </c>
      <c r="BM524" s="95">
        <v>2920</v>
      </c>
      <c r="BU524" s="146">
        <v>921</v>
      </c>
      <c r="BX524" s="146">
        <f>105+760</f>
        <v>865</v>
      </c>
      <c r="CH524" s="250">
        <v>11</v>
      </c>
      <c r="CJ524" s="187">
        <v>1.5</v>
      </c>
      <c r="CL524" s="187">
        <v>60</v>
      </c>
      <c r="CP524" s="251">
        <v>50</v>
      </c>
      <c r="CR524" s="94">
        <f>40+50</f>
        <v>90</v>
      </c>
      <c r="CS524" s="255">
        <f>3000+1626</f>
        <v>4626</v>
      </c>
      <c r="DJ524" s="187">
        <f>-50.2-8</f>
        <v>-58.2</v>
      </c>
      <c r="DN524" s="260">
        <v>50</v>
      </c>
    </row>
    <row r="525" spans="1:118" hidden="1" outlineLevel="1" x14ac:dyDescent="0.3">
      <c r="A525" s="138" t="s">
        <v>60</v>
      </c>
      <c r="B525" s="11">
        <v>936</v>
      </c>
      <c r="C525" s="12" t="s">
        <v>115</v>
      </c>
      <c r="D525" s="12" t="s">
        <v>121</v>
      </c>
      <c r="E525" s="13" t="s">
        <v>37</v>
      </c>
      <c r="F525" s="13" t="s">
        <v>61</v>
      </c>
      <c r="G525" s="53"/>
      <c r="H525" s="111"/>
      <c r="I525" s="112"/>
      <c r="J525" s="111"/>
      <c r="K525" s="76"/>
      <c r="L525" s="75"/>
      <c r="M525" s="75"/>
      <c r="AG525" s="75"/>
      <c r="AH525" s="75"/>
    </row>
    <row r="526" spans="1:118" outlineLevel="1" x14ac:dyDescent="0.3">
      <c r="A526" s="138" t="s">
        <v>60</v>
      </c>
      <c r="B526" s="11">
        <v>936</v>
      </c>
      <c r="C526" s="12" t="s">
        <v>115</v>
      </c>
      <c r="D526" s="12" t="s">
        <v>121</v>
      </c>
      <c r="E526" s="13" t="s">
        <v>37</v>
      </c>
      <c r="F526" s="13" t="s">
        <v>61</v>
      </c>
      <c r="G526" s="53">
        <f>CS526+DH526+DN526</f>
        <v>62.216999999999999</v>
      </c>
      <c r="H526" s="111">
        <v>53.6</v>
      </c>
      <c r="I526" s="112"/>
      <c r="J526" s="111"/>
      <c r="K526" s="76"/>
      <c r="L526" s="75"/>
      <c r="M526" s="75"/>
      <c r="AG526" s="75"/>
      <c r="AH526" s="75"/>
      <c r="AK526" s="75">
        <v>139.19999999999999</v>
      </c>
      <c r="BL526" s="187">
        <v>-16.155000000000001</v>
      </c>
      <c r="BM526" s="95">
        <v>53.6</v>
      </c>
      <c r="CS526" s="255">
        <v>28</v>
      </c>
      <c r="DH526" s="187">
        <v>34</v>
      </c>
      <c r="DN526" s="260">
        <v>0.217</v>
      </c>
    </row>
    <row r="527" spans="1:118" ht="37.5" outlineLevel="1" x14ac:dyDescent="0.3">
      <c r="A527" s="157" t="s">
        <v>374</v>
      </c>
      <c r="B527" s="11">
        <v>936</v>
      </c>
      <c r="C527" s="12" t="s">
        <v>115</v>
      </c>
      <c r="D527" s="12" t="s">
        <v>121</v>
      </c>
      <c r="E527" s="13" t="s">
        <v>665</v>
      </c>
      <c r="F527" s="13" t="s">
        <v>50</v>
      </c>
      <c r="G527" s="53">
        <f>G528</f>
        <v>4524.1000000000004</v>
      </c>
      <c r="H527" s="111"/>
      <c r="I527" s="112"/>
      <c r="J527" s="111"/>
      <c r="K527" s="76"/>
      <c r="L527" s="75"/>
      <c r="M527" s="75"/>
      <c r="AG527" s="75"/>
      <c r="AH527" s="75"/>
    </row>
    <row r="528" spans="1:118" ht="93.75" outlineLevel="1" x14ac:dyDescent="0.3">
      <c r="A528" s="138" t="s">
        <v>56</v>
      </c>
      <c r="B528" s="11">
        <v>936</v>
      </c>
      <c r="C528" s="12" t="s">
        <v>115</v>
      </c>
      <c r="D528" s="12" t="s">
        <v>121</v>
      </c>
      <c r="E528" s="13" t="s">
        <v>665</v>
      </c>
      <c r="F528" s="13" t="s">
        <v>57</v>
      </c>
      <c r="G528" s="53">
        <f>DI528</f>
        <v>4524.1000000000004</v>
      </c>
      <c r="H528" s="111"/>
      <c r="I528" s="112"/>
      <c r="J528" s="111"/>
      <c r="K528" s="76"/>
      <c r="L528" s="75"/>
      <c r="M528" s="75"/>
      <c r="AG528" s="75">
        <v>714.6</v>
      </c>
      <c r="AH528" s="75"/>
      <c r="AK528" s="75">
        <v>0</v>
      </c>
      <c r="BK528" s="218">
        <v>1642</v>
      </c>
      <c r="DI528" s="260">
        <v>4524.1000000000004</v>
      </c>
    </row>
    <row r="529" spans="1:115" ht="37.5" x14ac:dyDescent="0.3">
      <c r="A529" s="138" t="s">
        <v>180</v>
      </c>
      <c r="B529" s="11">
        <v>936</v>
      </c>
      <c r="C529" s="12" t="s">
        <v>115</v>
      </c>
      <c r="D529" s="12" t="s">
        <v>121</v>
      </c>
      <c r="E529" s="12" t="s">
        <v>181</v>
      </c>
      <c r="F529" s="12" t="s">
        <v>50</v>
      </c>
      <c r="G529" s="53">
        <f>G530+G531</f>
        <v>5615</v>
      </c>
      <c r="H529" s="111"/>
      <c r="I529" s="112"/>
      <c r="J529" s="111"/>
      <c r="K529" s="76"/>
      <c r="L529" s="75"/>
      <c r="M529" s="75"/>
      <c r="AG529" s="75"/>
      <c r="AH529" s="75"/>
    </row>
    <row r="530" spans="1:115" ht="93.75" x14ac:dyDescent="0.3">
      <c r="A530" s="138" t="s">
        <v>56</v>
      </c>
      <c r="B530" s="11">
        <v>936</v>
      </c>
      <c r="C530" s="12" t="s">
        <v>115</v>
      </c>
      <c r="D530" s="12" t="s">
        <v>121</v>
      </c>
      <c r="E530" s="12" t="s">
        <v>181</v>
      </c>
      <c r="F530" s="12" t="s">
        <v>57</v>
      </c>
      <c r="G530" s="53">
        <f>CS530+CX530</f>
        <v>5515</v>
      </c>
      <c r="H530" s="111">
        <v>5116.5</v>
      </c>
      <c r="I530" s="112"/>
      <c r="J530" s="111"/>
      <c r="K530" s="76"/>
      <c r="L530" s="75"/>
      <c r="M530" s="75"/>
      <c r="AG530" s="75"/>
      <c r="AH530" s="75"/>
      <c r="AK530" s="75">
        <v>4427.1000000000004</v>
      </c>
      <c r="BJ530" s="187">
        <v>4.3428599999999999</v>
      </c>
      <c r="BK530" s="218">
        <v>-597</v>
      </c>
      <c r="BM530" s="95">
        <v>5061.3999999999996</v>
      </c>
      <c r="CP530" s="251">
        <v>559.20000000000005</v>
      </c>
      <c r="CS530" s="255">
        <v>5514.2</v>
      </c>
      <c r="CX530" s="260">
        <v>0.8</v>
      </c>
    </row>
    <row r="531" spans="1:115" ht="37.5" x14ac:dyDescent="0.3">
      <c r="A531" s="157" t="s">
        <v>374</v>
      </c>
      <c r="B531" s="11">
        <v>936</v>
      </c>
      <c r="C531" s="12" t="s">
        <v>115</v>
      </c>
      <c r="D531" s="12" t="s">
        <v>121</v>
      </c>
      <c r="E531" s="13" t="s">
        <v>666</v>
      </c>
      <c r="F531" s="13" t="s">
        <v>50</v>
      </c>
      <c r="G531" s="53">
        <f>G532</f>
        <v>100</v>
      </c>
      <c r="H531" s="111"/>
      <c r="I531" s="112"/>
      <c r="J531" s="111"/>
      <c r="K531" s="76"/>
      <c r="L531" s="75"/>
      <c r="M531" s="75"/>
      <c r="AG531" s="75"/>
      <c r="AH531" s="75"/>
    </row>
    <row r="532" spans="1:115" ht="93.75" x14ac:dyDescent="0.3">
      <c r="A532" s="138" t="s">
        <v>56</v>
      </c>
      <c r="B532" s="11">
        <v>936</v>
      </c>
      <c r="C532" s="12" t="s">
        <v>115</v>
      </c>
      <c r="D532" s="12" t="s">
        <v>121</v>
      </c>
      <c r="E532" s="13" t="s">
        <v>666</v>
      </c>
      <c r="F532" s="13" t="s">
        <v>57</v>
      </c>
      <c r="G532" s="53">
        <f>DI532</f>
        <v>100</v>
      </c>
      <c r="H532" s="111"/>
      <c r="I532" s="112"/>
      <c r="J532" s="111"/>
      <c r="K532" s="76"/>
      <c r="L532" s="75"/>
      <c r="M532" s="75"/>
      <c r="AG532" s="75"/>
      <c r="AH532" s="75"/>
      <c r="DI532" s="260">
        <v>100</v>
      </c>
    </row>
    <row r="533" spans="1:115" ht="56.25" x14ac:dyDescent="0.3">
      <c r="A533" s="138" t="s">
        <v>946</v>
      </c>
      <c r="B533" s="11">
        <v>936</v>
      </c>
      <c r="C533" s="12" t="s">
        <v>115</v>
      </c>
      <c r="D533" s="12" t="s">
        <v>121</v>
      </c>
      <c r="E533" s="12" t="s">
        <v>947</v>
      </c>
      <c r="F533" s="18" t="s">
        <v>50</v>
      </c>
      <c r="G533" s="53">
        <f>G534</f>
        <v>555.64300000000003</v>
      </c>
      <c r="H533" s="111"/>
      <c r="I533" s="112"/>
      <c r="J533" s="111"/>
      <c r="K533" s="76"/>
      <c r="L533" s="75"/>
      <c r="M533" s="75"/>
      <c r="AG533" s="75"/>
      <c r="AH533" s="75"/>
    </row>
    <row r="534" spans="1:115" ht="93.75" x14ac:dyDescent="0.3">
      <c r="A534" s="138" t="s">
        <v>56</v>
      </c>
      <c r="B534" s="11">
        <v>936</v>
      </c>
      <c r="C534" s="12" t="s">
        <v>115</v>
      </c>
      <c r="D534" s="12" t="s">
        <v>121</v>
      </c>
      <c r="E534" s="12" t="s">
        <v>947</v>
      </c>
      <c r="F534" s="12" t="s">
        <v>57</v>
      </c>
      <c r="G534" s="53">
        <f>DK534</f>
        <v>555.64300000000003</v>
      </c>
      <c r="H534" s="111"/>
      <c r="I534" s="112"/>
      <c r="J534" s="111"/>
      <c r="K534" s="76"/>
      <c r="L534" s="75"/>
      <c r="M534" s="75"/>
      <c r="AG534" s="75"/>
      <c r="AH534" s="75"/>
      <c r="DK534" s="260">
        <v>555.64300000000003</v>
      </c>
    </row>
    <row r="535" spans="1:115" x14ac:dyDescent="0.3">
      <c r="A535" s="204" t="s">
        <v>208</v>
      </c>
      <c r="B535" s="23">
        <v>936</v>
      </c>
      <c r="C535" s="24" t="s">
        <v>115</v>
      </c>
      <c r="D535" s="24" t="s">
        <v>209</v>
      </c>
      <c r="E535" s="25" t="s">
        <v>49</v>
      </c>
      <c r="F535" s="25" t="s">
        <v>50</v>
      </c>
      <c r="G535" s="64">
        <f>G536</f>
        <v>7.35</v>
      </c>
      <c r="H535" s="111"/>
      <c r="I535" s="112"/>
      <c r="J535" s="111"/>
      <c r="K535" s="76"/>
      <c r="L535" s="75"/>
      <c r="M535" s="75"/>
      <c r="AG535" s="75"/>
      <c r="AH535" s="75"/>
    </row>
    <row r="536" spans="1:115" ht="56.25" x14ac:dyDescent="0.3">
      <c r="A536" s="200" t="s">
        <v>16</v>
      </c>
      <c r="B536" s="26">
        <v>936</v>
      </c>
      <c r="C536" s="27" t="s">
        <v>115</v>
      </c>
      <c r="D536" s="27" t="s">
        <v>209</v>
      </c>
      <c r="E536" s="13" t="s">
        <v>32</v>
      </c>
      <c r="F536" s="18" t="s">
        <v>50</v>
      </c>
      <c r="G536" s="53">
        <f>G537</f>
        <v>7.35</v>
      </c>
      <c r="H536" s="111"/>
      <c r="I536" s="112"/>
      <c r="J536" s="111"/>
      <c r="K536" s="76"/>
      <c r="L536" s="75"/>
      <c r="M536" s="75"/>
      <c r="AG536" s="75"/>
      <c r="AH536" s="75"/>
    </row>
    <row r="537" spans="1:115" x14ac:dyDescent="0.3">
      <c r="A537" s="138" t="s">
        <v>409</v>
      </c>
      <c r="B537" s="26">
        <v>936</v>
      </c>
      <c r="C537" s="27" t="s">
        <v>115</v>
      </c>
      <c r="D537" s="27" t="s">
        <v>209</v>
      </c>
      <c r="E537" s="18" t="s">
        <v>855</v>
      </c>
      <c r="F537" s="18" t="s">
        <v>50</v>
      </c>
      <c r="G537" s="53">
        <f>G538</f>
        <v>7.35</v>
      </c>
      <c r="H537" s="111"/>
      <c r="I537" s="112"/>
      <c r="J537" s="111"/>
      <c r="K537" s="76"/>
      <c r="L537" s="75"/>
      <c r="M537" s="75"/>
      <c r="AG537" s="75"/>
      <c r="AH537" s="75"/>
    </row>
    <row r="538" spans="1:115" ht="88.5" customHeight="1" x14ac:dyDescent="0.3">
      <c r="A538" s="182" t="s">
        <v>210</v>
      </c>
      <c r="B538" s="26">
        <v>936</v>
      </c>
      <c r="C538" s="27" t="s">
        <v>115</v>
      </c>
      <c r="D538" s="27" t="s">
        <v>209</v>
      </c>
      <c r="E538" s="18" t="s">
        <v>856</v>
      </c>
      <c r="F538" s="18" t="s">
        <v>50</v>
      </c>
      <c r="G538" s="53">
        <f>G539</f>
        <v>7.35</v>
      </c>
      <c r="H538" s="111"/>
      <c r="I538" s="112"/>
      <c r="J538" s="111"/>
      <c r="K538" s="76"/>
      <c r="L538" s="75"/>
      <c r="M538" s="75"/>
      <c r="AG538" s="75"/>
      <c r="AH538" s="75"/>
    </row>
    <row r="539" spans="1:115" ht="37.5" x14ac:dyDescent="0.3">
      <c r="A539" s="138" t="s">
        <v>425</v>
      </c>
      <c r="B539" s="26">
        <v>936</v>
      </c>
      <c r="C539" s="27" t="s">
        <v>115</v>
      </c>
      <c r="D539" s="27" t="s">
        <v>209</v>
      </c>
      <c r="E539" s="18" t="s">
        <v>856</v>
      </c>
      <c r="F539" s="18" t="s">
        <v>59</v>
      </c>
      <c r="G539" s="53">
        <f>CQ539+DB539</f>
        <v>7.35</v>
      </c>
      <c r="H539" s="111"/>
      <c r="I539" s="112">
        <v>5.6</v>
      </c>
      <c r="J539" s="111"/>
      <c r="K539" s="76"/>
      <c r="L539" s="75"/>
      <c r="M539" s="75"/>
      <c r="AG539" s="75"/>
      <c r="AH539" s="75"/>
      <c r="AK539" s="75">
        <v>21.5</v>
      </c>
      <c r="BG539" s="225">
        <v>7.3</v>
      </c>
      <c r="BO539" s="230">
        <v>3.2</v>
      </c>
      <c r="CQ539" s="94">
        <v>3.62</v>
      </c>
      <c r="DB539" s="187">
        <v>3.73</v>
      </c>
    </row>
    <row r="540" spans="1:115" ht="37.5" hidden="1" x14ac:dyDescent="0.3">
      <c r="A540" s="150" t="s">
        <v>342</v>
      </c>
      <c r="B540" s="23">
        <v>936</v>
      </c>
      <c r="C540" s="24" t="s">
        <v>115</v>
      </c>
      <c r="D540" s="24" t="s">
        <v>123</v>
      </c>
      <c r="E540" s="25" t="s">
        <v>49</v>
      </c>
      <c r="F540" s="25" t="s">
        <v>50</v>
      </c>
      <c r="G540" s="64">
        <f>G541</f>
        <v>0</v>
      </c>
      <c r="H540" s="111"/>
      <c r="I540" s="112"/>
      <c r="J540" s="111"/>
      <c r="K540" s="76"/>
      <c r="L540" s="75"/>
      <c r="M540" s="75"/>
      <c r="AG540" s="75"/>
      <c r="AH540" s="75"/>
    </row>
    <row r="541" spans="1:115" ht="56.25" hidden="1" x14ac:dyDescent="0.3">
      <c r="A541" s="200" t="s">
        <v>16</v>
      </c>
      <c r="B541" s="26">
        <v>936</v>
      </c>
      <c r="C541" s="27" t="s">
        <v>115</v>
      </c>
      <c r="D541" s="27" t="s">
        <v>123</v>
      </c>
      <c r="E541" s="13" t="s">
        <v>32</v>
      </c>
      <c r="F541" s="18" t="s">
        <v>50</v>
      </c>
      <c r="G541" s="53">
        <f>G542</f>
        <v>0</v>
      </c>
      <c r="H541" s="111"/>
      <c r="I541" s="112"/>
      <c r="J541" s="111"/>
      <c r="K541" s="76"/>
      <c r="L541" s="75"/>
      <c r="M541" s="75"/>
      <c r="AG541" s="75"/>
      <c r="AH541" s="75"/>
    </row>
    <row r="542" spans="1:115" hidden="1" x14ac:dyDescent="0.3">
      <c r="A542" s="138" t="s">
        <v>409</v>
      </c>
      <c r="B542" s="26">
        <v>936</v>
      </c>
      <c r="C542" s="27" t="s">
        <v>115</v>
      </c>
      <c r="D542" s="27" t="s">
        <v>123</v>
      </c>
      <c r="E542" s="18" t="s">
        <v>44</v>
      </c>
      <c r="F542" s="18" t="s">
        <v>50</v>
      </c>
      <c r="G542" s="53">
        <f>G543</f>
        <v>0</v>
      </c>
      <c r="H542" s="111"/>
      <c r="I542" s="112"/>
      <c r="J542" s="111"/>
      <c r="K542" s="76"/>
      <c r="L542" s="75"/>
      <c r="M542" s="75"/>
      <c r="AG542" s="75"/>
      <c r="AH542" s="75"/>
    </row>
    <row r="543" spans="1:115" hidden="1" x14ac:dyDescent="0.3">
      <c r="A543" s="138" t="s">
        <v>523</v>
      </c>
      <c r="B543" s="26">
        <v>936</v>
      </c>
      <c r="C543" s="27" t="s">
        <v>115</v>
      </c>
      <c r="D543" s="27" t="s">
        <v>123</v>
      </c>
      <c r="E543" s="18" t="s">
        <v>524</v>
      </c>
      <c r="F543" s="18" t="s">
        <v>50</v>
      </c>
      <c r="G543" s="53">
        <f>G544</f>
        <v>0</v>
      </c>
      <c r="H543" s="111"/>
      <c r="I543" s="112"/>
      <c r="J543" s="111"/>
      <c r="K543" s="76"/>
      <c r="L543" s="75"/>
      <c r="M543" s="75"/>
      <c r="AG543" s="75"/>
      <c r="AH543" s="75"/>
    </row>
    <row r="544" spans="1:115" ht="37.5" hidden="1" x14ac:dyDescent="0.3">
      <c r="A544" s="138" t="s">
        <v>525</v>
      </c>
      <c r="B544" s="26">
        <v>936</v>
      </c>
      <c r="C544" s="27" t="s">
        <v>115</v>
      </c>
      <c r="D544" s="27" t="s">
        <v>123</v>
      </c>
      <c r="E544" s="18" t="s">
        <v>526</v>
      </c>
      <c r="F544" s="18" t="s">
        <v>50</v>
      </c>
      <c r="G544" s="53">
        <f>G545+G546</f>
        <v>0</v>
      </c>
      <c r="H544" s="111"/>
      <c r="I544" s="112"/>
      <c r="J544" s="111"/>
      <c r="K544" s="76"/>
      <c r="L544" s="75"/>
      <c r="M544" s="75"/>
      <c r="AG544" s="75"/>
      <c r="AH544" s="75"/>
    </row>
    <row r="545" spans="1:118" ht="37.5" hidden="1" x14ac:dyDescent="0.3">
      <c r="A545" s="138" t="s">
        <v>425</v>
      </c>
      <c r="B545" s="26">
        <v>936</v>
      </c>
      <c r="C545" s="27" t="s">
        <v>115</v>
      </c>
      <c r="D545" s="27" t="s">
        <v>123</v>
      </c>
      <c r="E545" s="18" t="s">
        <v>526</v>
      </c>
      <c r="F545" s="18" t="s">
        <v>59</v>
      </c>
      <c r="G545" s="53">
        <v>0</v>
      </c>
      <c r="H545" s="111"/>
      <c r="I545" s="112"/>
      <c r="J545" s="111"/>
      <c r="K545" s="76"/>
      <c r="L545" s="75"/>
      <c r="M545" s="75"/>
      <c r="AC545">
        <v>478.33600000000001</v>
      </c>
      <c r="AD545">
        <v>-678.33600000000001</v>
      </c>
      <c r="AG545" s="75"/>
      <c r="AH545" s="75"/>
      <c r="AK545" s="75">
        <v>0</v>
      </c>
    </row>
    <row r="546" spans="1:118" hidden="1" x14ac:dyDescent="0.3">
      <c r="A546" s="138" t="s">
        <v>60</v>
      </c>
      <c r="B546" s="26">
        <v>936</v>
      </c>
      <c r="C546" s="27" t="s">
        <v>115</v>
      </c>
      <c r="D546" s="27" t="s">
        <v>123</v>
      </c>
      <c r="E546" s="18" t="s">
        <v>526</v>
      </c>
      <c r="F546" s="18" t="s">
        <v>61</v>
      </c>
      <c r="G546" s="53">
        <v>0</v>
      </c>
      <c r="H546" s="111"/>
      <c r="I546" s="112"/>
      <c r="J546" s="111"/>
      <c r="K546" s="76"/>
      <c r="L546" s="75"/>
      <c r="M546" s="75"/>
      <c r="AD546">
        <v>678.33600000000001</v>
      </c>
      <c r="AG546" s="75"/>
      <c r="AH546" s="75"/>
      <c r="AK546" s="75">
        <v>0</v>
      </c>
    </row>
    <row r="547" spans="1:118" x14ac:dyDescent="0.3">
      <c r="A547" s="150" t="s">
        <v>211</v>
      </c>
      <c r="B547" s="10">
        <v>936</v>
      </c>
      <c r="C547" s="7" t="s">
        <v>115</v>
      </c>
      <c r="D547" s="17" t="s">
        <v>189</v>
      </c>
      <c r="E547" s="10" t="s">
        <v>212</v>
      </c>
      <c r="F547" s="10" t="s">
        <v>213</v>
      </c>
      <c r="G547" s="64">
        <f>G548+G573+G606+G578+G561</f>
        <v>42398.650360000007</v>
      </c>
      <c r="H547" s="111"/>
      <c r="I547" s="112"/>
      <c r="J547" s="111"/>
      <c r="K547" s="76"/>
      <c r="L547" s="75"/>
      <c r="M547" s="75"/>
      <c r="AG547" s="75"/>
      <c r="AH547" s="75"/>
    </row>
    <row r="548" spans="1:118" ht="39" customHeight="1" x14ac:dyDescent="0.3">
      <c r="A548" s="151" t="s">
        <v>158</v>
      </c>
      <c r="B548" s="11">
        <v>936</v>
      </c>
      <c r="C548" s="12" t="s">
        <v>115</v>
      </c>
      <c r="D548" s="6" t="s">
        <v>189</v>
      </c>
      <c r="E548" s="13" t="s">
        <v>85</v>
      </c>
      <c r="F548" s="18" t="s">
        <v>50</v>
      </c>
      <c r="G548" s="53">
        <f>G549</f>
        <v>6027.3400799999999</v>
      </c>
      <c r="H548" s="111"/>
      <c r="I548" s="112"/>
      <c r="J548" s="111"/>
      <c r="K548" s="76"/>
      <c r="L548" s="75"/>
      <c r="M548" s="75"/>
      <c r="AG548" s="75"/>
      <c r="AH548" s="75"/>
    </row>
    <row r="549" spans="1:118" ht="37.5" x14ac:dyDescent="0.3">
      <c r="A549" s="200" t="s">
        <v>214</v>
      </c>
      <c r="B549" s="11">
        <v>936</v>
      </c>
      <c r="C549" s="6" t="s">
        <v>115</v>
      </c>
      <c r="D549" s="6" t="s">
        <v>189</v>
      </c>
      <c r="E549" s="12" t="s">
        <v>89</v>
      </c>
      <c r="F549" s="12" t="s">
        <v>50</v>
      </c>
      <c r="G549" s="53">
        <f>G550+G558</f>
        <v>6027.3400799999999</v>
      </c>
      <c r="H549" s="111"/>
      <c r="I549" s="112"/>
      <c r="J549" s="111"/>
      <c r="K549" s="76"/>
      <c r="L549" s="75"/>
      <c r="M549" s="75"/>
      <c r="AG549" s="75"/>
      <c r="AH549" s="75"/>
    </row>
    <row r="550" spans="1:118" ht="37.5" x14ac:dyDescent="0.3">
      <c r="A550" s="138" t="s">
        <v>52</v>
      </c>
      <c r="B550" s="11">
        <v>936</v>
      </c>
      <c r="C550" s="12" t="s">
        <v>115</v>
      </c>
      <c r="D550" s="6" t="s">
        <v>189</v>
      </c>
      <c r="E550" s="12" t="s">
        <v>216</v>
      </c>
      <c r="F550" s="12" t="s">
        <v>50</v>
      </c>
      <c r="G550" s="53">
        <f>G551+G556</f>
        <v>5830.3400799999999</v>
      </c>
      <c r="H550" s="111"/>
      <c r="I550" s="112"/>
      <c r="J550" s="111"/>
      <c r="K550" s="76"/>
      <c r="L550" s="75"/>
      <c r="M550" s="75"/>
      <c r="AG550" s="75"/>
      <c r="AH550" s="75"/>
    </row>
    <row r="551" spans="1:118" x14ac:dyDescent="0.3">
      <c r="A551" s="138" t="s">
        <v>215</v>
      </c>
      <c r="B551" s="11">
        <v>936</v>
      </c>
      <c r="C551" s="12" t="s">
        <v>115</v>
      </c>
      <c r="D551" s="12" t="s">
        <v>189</v>
      </c>
      <c r="E551" s="12" t="s">
        <v>217</v>
      </c>
      <c r="F551" s="12" t="s">
        <v>50</v>
      </c>
      <c r="G551" s="53">
        <f>G552+G553+G555</f>
        <v>5830.3400799999999</v>
      </c>
      <c r="H551" s="111"/>
      <c r="I551" s="112"/>
      <c r="J551" s="111"/>
      <c r="K551" s="76"/>
      <c r="L551" s="75"/>
      <c r="M551" s="75"/>
      <c r="AG551" s="75"/>
      <c r="AH551" s="75"/>
    </row>
    <row r="552" spans="1:118" ht="93.75" x14ac:dyDescent="0.3">
      <c r="A552" s="138" t="s">
        <v>56</v>
      </c>
      <c r="B552" s="11">
        <v>936</v>
      </c>
      <c r="C552" s="12" t="s">
        <v>115</v>
      </c>
      <c r="D552" s="12" t="s">
        <v>189</v>
      </c>
      <c r="E552" s="12" t="s">
        <v>217</v>
      </c>
      <c r="F552" s="12" t="s">
        <v>57</v>
      </c>
      <c r="G552" s="53">
        <f>CS552+DN552</f>
        <v>4520.8</v>
      </c>
      <c r="H552" s="111">
        <v>3501.1</v>
      </c>
      <c r="I552" s="112"/>
      <c r="J552" s="111"/>
      <c r="K552" s="76"/>
      <c r="L552" s="75"/>
      <c r="M552" s="75"/>
      <c r="AG552" s="75"/>
      <c r="AH552" s="75"/>
      <c r="AK552" s="75">
        <v>3079.2</v>
      </c>
      <c r="BM552" s="95">
        <v>3877.1</v>
      </c>
      <c r="CS552" s="255">
        <v>4424.6000000000004</v>
      </c>
      <c r="DN552" s="260">
        <v>96.2</v>
      </c>
    </row>
    <row r="553" spans="1:118" ht="37.5" x14ac:dyDescent="0.3">
      <c r="A553" s="138" t="s">
        <v>425</v>
      </c>
      <c r="B553" s="11">
        <v>936</v>
      </c>
      <c r="C553" s="12" t="s">
        <v>115</v>
      </c>
      <c r="D553" s="6" t="s">
        <v>189</v>
      </c>
      <c r="E553" s="12" t="s">
        <v>217</v>
      </c>
      <c r="F553" s="12" t="s">
        <v>59</v>
      </c>
      <c r="G553" s="53">
        <f>CS553+CU553+CZ553+DL553+DN553</f>
        <v>841.14008000000001</v>
      </c>
      <c r="H553" s="111">
        <v>552.20000000000005</v>
      </c>
      <c r="I553" s="112"/>
      <c r="J553" s="111"/>
      <c r="K553" s="76"/>
      <c r="L553" s="75"/>
      <c r="M553" s="75"/>
      <c r="AC553">
        <f>5+31.5</f>
        <v>36.5</v>
      </c>
      <c r="AG553" s="75"/>
      <c r="AH553" s="75">
        <f>-2.08665-0.84156+1.4</f>
        <v>-1.5282100000000001</v>
      </c>
      <c r="AK553" s="75">
        <v>677.5</v>
      </c>
      <c r="BH553" s="225">
        <v>96</v>
      </c>
      <c r="BL553" s="187">
        <v>-20.3</v>
      </c>
      <c r="BM553" s="95">
        <v>770.64</v>
      </c>
      <c r="CS553" s="255">
        <f>362+272.7</f>
        <v>634.70000000000005</v>
      </c>
      <c r="CU553" s="250">
        <v>67</v>
      </c>
      <c r="CZ553" s="187">
        <v>10</v>
      </c>
      <c r="DL553" s="260">
        <v>129</v>
      </c>
      <c r="DN553" s="260">
        <v>0.44008000000000003</v>
      </c>
    </row>
    <row r="554" spans="1:118" ht="37.5" x14ac:dyDescent="0.3">
      <c r="A554" s="157" t="s">
        <v>374</v>
      </c>
      <c r="B554" s="11">
        <v>936</v>
      </c>
      <c r="C554" s="12" t="s">
        <v>115</v>
      </c>
      <c r="D554" s="6" t="s">
        <v>189</v>
      </c>
      <c r="E554" s="12" t="s">
        <v>428</v>
      </c>
      <c r="F554" s="12" t="s">
        <v>50</v>
      </c>
      <c r="G554" s="53">
        <f>G555</f>
        <v>468.40000000000003</v>
      </c>
      <c r="H554" s="111"/>
      <c r="I554" s="112"/>
      <c r="J554" s="111"/>
      <c r="K554" s="76"/>
      <c r="L554" s="75"/>
      <c r="M554" s="75"/>
      <c r="AG554" s="75"/>
      <c r="AH554" s="75"/>
    </row>
    <row r="555" spans="1:118" ht="93.75" x14ac:dyDescent="0.3">
      <c r="A555" s="138" t="s">
        <v>56</v>
      </c>
      <c r="B555" s="11">
        <v>936</v>
      </c>
      <c r="C555" s="12" t="s">
        <v>115</v>
      </c>
      <c r="D555" s="6" t="s">
        <v>189</v>
      </c>
      <c r="E555" s="12" t="s">
        <v>428</v>
      </c>
      <c r="F555" s="12" t="s">
        <v>57</v>
      </c>
      <c r="G555" s="53">
        <f>CW555+DI555</f>
        <v>468.40000000000003</v>
      </c>
      <c r="H555" s="111"/>
      <c r="I555" s="112"/>
      <c r="J555" s="111"/>
      <c r="K555" s="76"/>
      <c r="L555" s="75"/>
      <c r="M555" s="75"/>
      <c r="Z555">
        <v>9.5</v>
      </c>
      <c r="AG555" s="75">
        <v>169.9</v>
      </c>
      <c r="AH555" s="75"/>
      <c r="AK555" s="75">
        <v>0</v>
      </c>
      <c r="AP555" s="146">
        <v>323</v>
      </c>
      <c r="BK555" s="218">
        <v>87.7</v>
      </c>
      <c r="BY555" s="146">
        <v>358</v>
      </c>
      <c r="CI555" s="187">
        <v>191.1</v>
      </c>
      <c r="CW555" s="259">
        <v>428.8</v>
      </c>
      <c r="DI555" s="260">
        <v>39.6</v>
      </c>
    </row>
    <row r="556" spans="1:118" ht="44.25" hidden="1" customHeight="1" x14ac:dyDescent="0.3">
      <c r="A556" s="157" t="s">
        <v>378</v>
      </c>
      <c r="B556" s="11">
        <v>936</v>
      </c>
      <c r="C556" s="12" t="s">
        <v>115</v>
      </c>
      <c r="D556" s="6" t="s">
        <v>189</v>
      </c>
      <c r="E556" s="12" t="s">
        <v>429</v>
      </c>
      <c r="F556" s="12" t="s">
        <v>50</v>
      </c>
      <c r="G556" s="53">
        <f>G557</f>
        <v>0</v>
      </c>
      <c r="H556" s="111"/>
      <c r="I556" s="112"/>
      <c r="J556" s="111"/>
      <c r="K556" s="76"/>
      <c r="L556" s="75"/>
      <c r="M556" s="75"/>
      <c r="AG556" s="75"/>
      <c r="AH556" s="75"/>
    </row>
    <row r="557" spans="1:118" ht="93.75" hidden="1" x14ac:dyDescent="0.3">
      <c r="A557" s="138" t="s">
        <v>56</v>
      </c>
      <c r="B557" s="11">
        <v>936</v>
      </c>
      <c r="C557" s="12" t="s">
        <v>115</v>
      </c>
      <c r="D557" s="6" t="s">
        <v>189</v>
      </c>
      <c r="E557" s="12" t="s">
        <v>429</v>
      </c>
      <c r="F557" s="12" t="s">
        <v>57</v>
      </c>
      <c r="G557" s="53">
        <v>0</v>
      </c>
      <c r="H557" s="111"/>
      <c r="I557" s="112"/>
      <c r="J557" s="111"/>
      <c r="K557" s="76"/>
      <c r="L557" s="75"/>
      <c r="M557" s="75"/>
      <c r="AG557" s="75"/>
      <c r="AH557" s="75"/>
    </row>
    <row r="558" spans="1:118" ht="75" x14ac:dyDescent="0.3">
      <c r="A558" s="138" t="s">
        <v>173</v>
      </c>
      <c r="B558" s="11">
        <v>936</v>
      </c>
      <c r="C558" s="12" t="s">
        <v>115</v>
      </c>
      <c r="D558" s="12" t="s">
        <v>189</v>
      </c>
      <c r="E558" s="12" t="s">
        <v>843</v>
      </c>
      <c r="F558" s="12" t="s">
        <v>50</v>
      </c>
      <c r="G558" s="53">
        <f>G559</f>
        <v>197</v>
      </c>
      <c r="H558" s="111"/>
      <c r="I558" s="112"/>
      <c r="J558" s="111"/>
      <c r="K558" s="76"/>
      <c r="L558" s="75"/>
      <c r="M558" s="75"/>
      <c r="AG558" s="75"/>
      <c r="AH558" s="75"/>
    </row>
    <row r="559" spans="1:118" ht="73.5" customHeight="1" x14ac:dyDescent="0.3">
      <c r="A559" s="165" t="s">
        <v>533</v>
      </c>
      <c r="B559" s="11">
        <v>936</v>
      </c>
      <c r="C559" s="12" t="s">
        <v>115</v>
      </c>
      <c r="D559" s="12" t="s">
        <v>189</v>
      </c>
      <c r="E559" s="12" t="s">
        <v>844</v>
      </c>
      <c r="F559" s="12" t="s">
        <v>50</v>
      </c>
      <c r="G559" s="53">
        <f>G560</f>
        <v>197</v>
      </c>
      <c r="H559" s="111"/>
      <c r="I559" s="112"/>
      <c r="J559" s="111"/>
      <c r="K559" s="76"/>
      <c r="L559" s="75"/>
      <c r="M559" s="75"/>
      <c r="AG559" s="75"/>
      <c r="AH559" s="75"/>
    </row>
    <row r="560" spans="1:118" ht="37.5" x14ac:dyDescent="0.3">
      <c r="A560" s="138" t="s">
        <v>425</v>
      </c>
      <c r="B560" s="11">
        <v>936</v>
      </c>
      <c r="C560" s="12" t="s">
        <v>115</v>
      </c>
      <c r="D560" s="12" t="s">
        <v>189</v>
      </c>
      <c r="E560" s="12" t="s">
        <v>844</v>
      </c>
      <c r="F560" s="12" t="s">
        <v>59</v>
      </c>
      <c r="G560" s="53">
        <f>CQ560</f>
        <v>197</v>
      </c>
      <c r="H560" s="111"/>
      <c r="I560" s="112">
        <v>184.6</v>
      </c>
      <c r="J560" s="111"/>
      <c r="K560" s="76"/>
      <c r="L560" s="75"/>
      <c r="M560" s="75"/>
      <c r="AG560" s="75"/>
      <c r="AH560" s="75"/>
      <c r="AK560" s="75">
        <v>182.7</v>
      </c>
      <c r="BO560" s="230">
        <v>195.4</v>
      </c>
      <c r="CQ560" s="94">
        <v>197</v>
      </c>
    </row>
    <row r="561" spans="1:104" ht="56.25" x14ac:dyDescent="0.3">
      <c r="A561" s="151" t="s">
        <v>161</v>
      </c>
      <c r="B561" s="11">
        <v>936</v>
      </c>
      <c r="C561" s="12" t="s">
        <v>115</v>
      </c>
      <c r="D561" s="12" t="s">
        <v>189</v>
      </c>
      <c r="E561" s="13" t="s">
        <v>99</v>
      </c>
      <c r="F561" s="12" t="s">
        <v>50</v>
      </c>
      <c r="G561" s="53">
        <f>G562+G565+G568+G570</f>
        <v>145.6</v>
      </c>
      <c r="H561" s="111"/>
      <c r="I561" s="112"/>
      <c r="J561" s="111"/>
      <c r="K561" s="76"/>
      <c r="L561" s="75"/>
      <c r="M561" s="75"/>
      <c r="AG561" s="75"/>
      <c r="AH561" s="75"/>
    </row>
    <row r="562" spans="1:104" ht="53.25" hidden="1" customHeight="1" x14ac:dyDescent="0.3">
      <c r="A562" s="151" t="s">
        <v>8</v>
      </c>
      <c r="B562" s="11">
        <v>936</v>
      </c>
      <c r="C562" s="12" t="s">
        <v>115</v>
      </c>
      <c r="D562" s="12" t="s">
        <v>189</v>
      </c>
      <c r="E562" s="13" t="s">
        <v>100</v>
      </c>
      <c r="F562" s="12" t="s">
        <v>50</v>
      </c>
      <c r="G562" s="220">
        <f>G564</f>
        <v>0</v>
      </c>
      <c r="H562" s="111"/>
      <c r="I562" s="112"/>
      <c r="J562" s="111"/>
      <c r="K562" s="76"/>
      <c r="L562" s="75"/>
      <c r="M562" s="75"/>
      <c r="AG562" s="75"/>
      <c r="AH562" s="75"/>
    </row>
    <row r="563" spans="1:104" ht="56.25" hidden="1" x14ac:dyDescent="0.3">
      <c r="A563" s="159" t="s">
        <v>493</v>
      </c>
      <c r="B563" s="11">
        <v>936</v>
      </c>
      <c r="C563" s="12" t="s">
        <v>115</v>
      </c>
      <c r="D563" s="6" t="s">
        <v>189</v>
      </c>
      <c r="E563" s="13" t="s">
        <v>474</v>
      </c>
      <c r="F563" s="12" t="s">
        <v>50</v>
      </c>
      <c r="G563" s="220">
        <f>G564</f>
        <v>0</v>
      </c>
      <c r="H563" s="111"/>
      <c r="I563" s="112"/>
      <c r="J563" s="111"/>
      <c r="K563" s="76"/>
      <c r="L563" s="75"/>
      <c r="M563" s="75"/>
      <c r="AG563" s="75"/>
      <c r="AH563" s="75"/>
    </row>
    <row r="564" spans="1:104" ht="31.5" hidden="1" customHeight="1" x14ac:dyDescent="0.3">
      <c r="A564" s="221" t="s">
        <v>60</v>
      </c>
      <c r="B564" s="11">
        <v>936</v>
      </c>
      <c r="C564" s="12" t="s">
        <v>115</v>
      </c>
      <c r="D564" s="6" t="s">
        <v>189</v>
      </c>
      <c r="E564" s="13" t="s">
        <v>474</v>
      </c>
      <c r="F564" s="12" t="s">
        <v>61</v>
      </c>
      <c r="G564" s="53">
        <v>0</v>
      </c>
      <c r="H564" s="111"/>
      <c r="I564" s="112"/>
      <c r="J564" s="111"/>
      <c r="K564" s="76"/>
      <c r="L564" s="75"/>
      <c r="M564" s="75"/>
      <c r="AG564" s="75"/>
      <c r="AH564" s="75"/>
      <c r="AZ564" s="218">
        <v>37.5</v>
      </c>
      <c r="BE564" s="218">
        <f>30+50</f>
        <v>80</v>
      </c>
      <c r="BL564" s="187">
        <v>118.2</v>
      </c>
      <c r="CD564" s="218">
        <v>50</v>
      </c>
    </row>
    <row r="565" spans="1:104" ht="57" customHeight="1" x14ac:dyDescent="0.3">
      <c r="A565" s="151" t="s">
        <v>9</v>
      </c>
      <c r="B565" s="11">
        <v>936</v>
      </c>
      <c r="C565" s="12" t="s">
        <v>115</v>
      </c>
      <c r="D565" s="6" t="s">
        <v>189</v>
      </c>
      <c r="E565" s="13" t="s">
        <v>101</v>
      </c>
      <c r="F565" s="12" t="s">
        <v>50</v>
      </c>
      <c r="G565" s="53">
        <f>G566</f>
        <v>6</v>
      </c>
      <c r="H565" s="111"/>
      <c r="I565" s="112"/>
      <c r="J565" s="111"/>
      <c r="K565" s="76"/>
      <c r="L565" s="75"/>
      <c r="M565" s="75"/>
      <c r="AG565" s="75"/>
      <c r="AH565" s="75"/>
    </row>
    <row r="566" spans="1:104" ht="57" customHeight="1" x14ac:dyDescent="0.3">
      <c r="A566" s="159" t="s">
        <v>493</v>
      </c>
      <c r="B566" s="11">
        <v>936</v>
      </c>
      <c r="C566" s="12" t="s">
        <v>115</v>
      </c>
      <c r="D566" s="6" t="s">
        <v>189</v>
      </c>
      <c r="E566" s="13" t="s">
        <v>494</v>
      </c>
      <c r="F566" s="12" t="s">
        <v>50</v>
      </c>
      <c r="G566" s="53">
        <f>G567</f>
        <v>6</v>
      </c>
      <c r="H566" s="111"/>
      <c r="I566" s="112"/>
      <c r="J566" s="111"/>
      <c r="K566" s="76"/>
      <c r="L566" s="75"/>
      <c r="M566" s="75"/>
      <c r="AG566" s="75"/>
      <c r="AH566" s="75"/>
    </row>
    <row r="567" spans="1:104" ht="24.75" customHeight="1" x14ac:dyDescent="0.3">
      <c r="A567" s="138" t="s">
        <v>60</v>
      </c>
      <c r="B567" s="11">
        <v>936</v>
      </c>
      <c r="C567" s="12" t="s">
        <v>115</v>
      </c>
      <c r="D567" s="6" t="s">
        <v>189</v>
      </c>
      <c r="E567" s="13" t="s">
        <v>494</v>
      </c>
      <c r="F567" s="12" t="s">
        <v>61</v>
      </c>
      <c r="G567" s="53">
        <v>6</v>
      </c>
      <c r="H567" s="120"/>
      <c r="I567" s="121"/>
      <c r="J567" s="120"/>
      <c r="K567" s="76"/>
      <c r="L567" s="75"/>
      <c r="M567" s="75"/>
      <c r="U567">
        <v>56</v>
      </c>
      <c r="Z567">
        <v>90.3</v>
      </c>
      <c r="AC567">
        <v>37.5</v>
      </c>
      <c r="AE567">
        <v>37.5</v>
      </c>
      <c r="AG567" s="75"/>
      <c r="AH567" s="75"/>
      <c r="AK567" s="75">
        <v>0</v>
      </c>
      <c r="BH567" s="225">
        <v>4.95</v>
      </c>
    </row>
    <row r="568" spans="1:104" ht="42" customHeight="1" x14ac:dyDescent="0.3">
      <c r="A568" s="157" t="s">
        <v>10</v>
      </c>
      <c r="B568" s="11">
        <v>936</v>
      </c>
      <c r="C568" s="12" t="s">
        <v>115</v>
      </c>
      <c r="D568" s="6" t="s">
        <v>189</v>
      </c>
      <c r="E568" s="13" t="s">
        <v>28</v>
      </c>
      <c r="F568" s="12" t="s">
        <v>50</v>
      </c>
      <c r="G568" s="53">
        <f>G569</f>
        <v>139.6</v>
      </c>
      <c r="H568" s="111"/>
      <c r="I568" s="112"/>
      <c r="J568" s="111"/>
      <c r="K568" s="76"/>
      <c r="L568" s="75"/>
      <c r="M568" s="75"/>
      <c r="AG568" s="75"/>
      <c r="AH568" s="75"/>
    </row>
    <row r="569" spans="1:104" ht="24.75" customHeight="1" x14ac:dyDescent="0.3">
      <c r="A569" s="138" t="s">
        <v>60</v>
      </c>
      <c r="B569" s="11">
        <v>936</v>
      </c>
      <c r="C569" s="12" t="s">
        <v>115</v>
      </c>
      <c r="D569" s="6" t="s">
        <v>189</v>
      </c>
      <c r="E569" s="13" t="s">
        <v>617</v>
      </c>
      <c r="F569" s="12" t="s">
        <v>61</v>
      </c>
      <c r="G569" s="53">
        <f>14.6+CY569+CZ569</f>
        <v>139.6</v>
      </c>
      <c r="H569" s="120"/>
      <c r="I569" s="121"/>
      <c r="J569" s="120"/>
      <c r="K569" s="76"/>
      <c r="L569" s="75"/>
      <c r="M569" s="75"/>
      <c r="AE569">
        <v>41.828000000000003</v>
      </c>
      <c r="AG569" s="75"/>
      <c r="AH569" s="75">
        <v>24.849029999999999</v>
      </c>
      <c r="AK569" s="75">
        <v>0</v>
      </c>
      <c r="AS569" s="187">
        <v>53.128999999999998</v>
      </c>
      <c r="AU569">
        <v>60</v>
      </c>
      <c r="AX569" s="96">
        <v>42</v>
      </c>
      <c r="BX569" s="146">
        <v>3.4569000000000001</v>
      </c>
      <c r="CY569" s="187">
        <v>100</v>
      </c>
      <c r="CZ569" s="187">
        <v>25</v>
      </c>
    </row>
    <row r="570" spans="1:104" ht="24.75" hidden="1" customHeight="1" x14ac:dyDescent="0.3">
      <c r="A570" s="138" t="s">
        <v>409</v>
      </c>
      <c r="B570" s="11">
        <v>936</v>
      </c>
      <c r="C570" s="12" t="s">
        <v>115</v>
      </c>
      <c r="D570" s="6" t="s">
        <v>189</v>
      </c>
      <c r="E570" s="34" t="s">
        <v>421</v>
      </c>
      <c r="F570" s="12" t="s">
        <v>50</v>
      </c>
      <c r="G570" s="68">
        <f>G571</f>
        <v>0</v>
      </c>
      <c r="H570" s="111"/>
      <c r="I570" s="112"/>
      <c r="J570" s="111"/>
      <c r="K570" s="76"/>
      <c r="L570" s="75"/>
      <c r="M570" s="75"/>
      <c r="AG570" s="75"/>
      <c r="AH570" s="75"/>
    </row>
    <row r="571" spans="1:104" ht="62.25" hidden="1" customHeight="1" x14ac:dyDescent="0.3">
      <c r="A571" s="159" t="s">
        <v>493</v>
      </c>
      <c r="B571" s="11">
        <v>936</v>
      </c>
      <c r="C571" s="12" t="s">
        <v>115</v>
      </c>
      <c r="D571" s="6" t="s">
        <v>189</v>
      </c>
      <c r="E571" s="34" t="s">
        <v>631</v>
      </c>
      <c r="F571" s="12" t="s">
        <v>50</v>
      </c>
      <c r="G571" s="68">
        <f>G572</f>
        <v>0</v>
      </c>
      <c r="H571" s="111"/>
      <c r="I571" s="112"/>
      <c r="J571" s="111"/>
      <c r="K571" s="76"/>
      <c r="L571" s="75"/>
      <c r="M571" s="75"/>
      <c r="AG571" s="75"/>
      <c r="AH571" s="75"/>
    </row>
    <row r="572" spans="1:104" ht="24.75" hidden="1" customHeight="1" x14ac:dyDescent="0.3">
      <c r="A572" s="138" t="s">
        <v>60</v>
      </c>
      <c r="B572" s="11">
        <v>936</v>
      </c>
      <c r="C572" s="12" t="s">
        <v>115</v>
      </c>
      <c r="D572" s="6" t="s">
        <v>189</v>
      </c>
      <c r="E572" s="34" t="s">
        <v>631</v>
      </c>
      <c r="F572" s="12" t="s">
        <v>61</v>
      </c>
      <c r="G572" s="53">
        <v>0</v>
      </c>
      <c r="H572" s="120"/>
      <c r="I572" s="121"/>
      <c r="J572" s="120"/>
      <c r="K572" s="76"/>
      <c r="L572" s="75"/>
      <c r="M572" s="75"/>
      <c r="AG572" s="75"/>
      <c r="AH572" s="75"/>
      <c r="AK572" s="75">
        <v>0</v>
      </c>
    </row>
    <row r="573" spans="1:104" ht="60.75" customHeight="1" x14ac:dyDescent="0.3">
      <c r="A573" s="151" t="s">
        <v>13</v>
      </c>
      <c r="B573" s="11">
        <v>936</v>
      </c>
      <c r="C573" s="12" t="s">
        <v>115</v>
      </c>
      <c r="D573" s="12" t="s">
        <v>189</v>
      </c>
      <c r="E573" s="13" t="s">
        <v>135</v>
      </c>
      <c r="F573" s="12" t="s">
        <v>50</v>
      </c>
      <c r="G573" s="53">
        <f>G574</f>
        <v>34</v>
      </c>
      <c r="H573" s="111"/>
      <c r="I573" s="112"/>
      <c r="J573" s="111"/>
      <c r="K573" s="76"/>
      <c r="L573" s="75"/>
      <c r="M573" s="75"/>
      <c r="AG573" s="75"/>
      <c r="AH573" s="75"/>
    </row>
    <row r="574" spans="1:104" ht="56.25" x14ac:dyDescent="0.3">
      <c r="A574" s="151" t="s">
        <v>14</v>
      </c>
      <c r="B574" s="11">
        <v>936</v>
      </c>
      <c r="C574" s="12" t="s">
        <v>115</v>
      </c>
      <c r="D574" s="12" t="s">
        <v>189</v>
      </c>
      <c r="E574" s="13" t="s">
        <v>30</v>
      </c>
      <c r="F574" s="12" t="s">
        <v>50</v>
      </c>
      <c r="G574" s="53">
        <f>G575</f>
        <v>34</v>
      </c>
      <c r="H574" s="111"/>
      <c r="I574" s="112"/>
      <c r="J574" s="111"/>
      <c r="K574" s="76"/>
      <c r="L574" s="75"/>
      <c r="M574" s="75"/>
      <c r="AG574" s="75"/>
      <c r="AH574" s="75"/>
    </row>
    <row r="575" spans="1:104" x14ac:dyDescent="0.3">
      <c r="A575" s="138" t="s">
        <v>62</v>
      </c>
      <c r="B575" s="11">
        <v>936</v>
      </c>
      <c r="C575" s="12" t="s">
        <v>115</v>
      </c>
      <c r="D575" s="6" t="s">
        <v>189</v>
      </c>
      <c r="E575" s="12" t="s">
        <v>219</v>
      </c>
      <c r="F575" s="12" t="s">
        <v>50</v>
      </c>
      <c r="G575" s="53">
        <f>G576</f>
        <v>34</v>
      </c>
      <c r="H575" s="111"/>
      <c r="I575" s="112"/>
      <c r="J575" s="111"/>
      <c r="K575" s="76"/>
      <c r="L575" s="75"/>
      <c r="M575" s="75"/>
      <c r="AG575" s="75"/>
      <c r="AH575" s="75"/>
    </row>
    <row r="576" spans="1:104" x14ac:dyDescent="0.3">
      <c r="A576" s="138" t="s">
        <v>218</v>
      </c>
      <c r="B576" s="11">
        <v>936</v>
      </c>
      <c r="C576" s="12" t="s">
        <v>115</v>
      </c>
      <c r="D576" s="6" t="s">
        <v>189</v>
      </c>
      <c r="E576" s="12" t="s">
        <v>220</v>
      </c>
      <c r="F576" s="12" t="s">
        <v>50</v>
      </c>
      <c r="G576" s="53">
        <f>G577</f>
        <v>34</v>
      </c>
      <c r="H576" s="111"/>
      <c r="I576" s="112"/>
      <c r="J576" s="111"/>
      <c r="K576" s="76"/>
      <c r="L576" s="75"/>
      <c r="M576" s="75"/>
      <c r="AG576" s="75"/>
      <c r="AH576" s="75"/>
    </row>
    <row r="577" spans="1:118" ht="37.5" x14ac:dyDescent="0.3">
      <c r="A577" s="138" t="s">
        <v>425</v>
      </c>
      <c r="B577" s="11">
        <v>936</v>
      </c>
      <c r="C577" s="12" t="s">
        <v>115</v>
      </c>
      <c r="D577" s="6" t="s">
        <v>189</v>
      </c>
      <c r="E577" s="12" t="s">
        <v>220</v>
      </c>
      <c r="F577" s="12" t="s">
        <v>59</v>
      </c>
      <c r="G577" s="53">
        <f>CR577</f>
        <v>34</v>
      </c>
      <c r="H577" s="122">
        <v>38</v>
      </c>
      <c r="I577" s="123"/>
      <c r="J577" s="122"/>
      <c r="K577" s="76"/>
      <c r="L577" s="75"/>
      <c r="M577" s="75"/>
      <c r="AG577" s="75"/>
      <c r="AH577" s="75"/>
      <c r="AK577" s="75">
        <v>37</v>
      </c>
      <c r="AN577" s="145">
        <v>0.8</v>
      </c>
      <c r="BN577" s="229">
        <v>45</v>
      </c>
      <c r="CR577" s="94">
        <v>34</v>
      </c>
    </row>
    <row r="578" spans="1:118" ht="56.25" x14ac:dyDescent="0.3">
      <c r="A578" s="200" t="s">
        <v>16</v>
      </c>
      <c r="B578" s="11">
        <v>936</v>
      </c>
      <c r="C578" s="12" t="s">
        <v>115</v>
      </c>
      <c r="D578" s="6" t="s">
        <v>189</v>
      </c>
      <c r="E578" s="13" t="s">
        <v>32</v>
      </c>
      <c r="F578" s="13" t="s">
        <v>50</v>
      </c>
      <c r="G578" s="53">
        <f>G582+G586+G579+G604</f>
        <v>30586.877220000006</v>
      </c>
      <c r="H578" s="111"/>
      <c r="I578" s="112"/>
      <c r="J578" s="111"/>
      <c r="K578" s="76"/>
      <c r="L578" s="75"/>
      <c r="M578" s="75"/>
      <c r="AG578" s="75"/>
      <c r="AH578" s="75"/>
    </row>
    <row r="579" spans="1:118" ht="37.5" hidden="1" outlineLevel="1" x14ac:dyDescent="0.3">
      <c r="A579" s="175" t="s">
        <v>17</v>
      </c>
      <c r="B579" s="11">
        <v>936</v>
      </c>
      <c r="C579" s="12" t="s">
        <v>115</v>
      </c>
      <c r="D579" s="6" t="s">
        <v>189</v>
      </c>
      <c r="E579" s="13" t="s">
        <v>33</v>
      </c>
      <c r="F579" s="18" t="s">
        <v>50</v>
      </c>
      <c r="G579" s="53"/>
      <c r="H579" s="111"/>
      <c r="I579" s="112"/>
      <c r="J579" s="111"/>
      <c r="K579" s="76"/>
      <c r="L579" s="75"/>
      <c r="M579" s="75"/>
      <c r="AG579" s="75"/>
      <c r="AH579" s="75"/>
    </row>
    <row r="580" spans="1:118" hidden="1" outlineLevel="1" x14ac:dyDescent="0.3">
      <c r="A580" s="158" t="s">
        <v>211</v>
      </c>
      <c r="B580" s="11">
        <v>936</v>
      </c>
      <c r="C580" s="12" t="s">
        <v>115</v>
      </c>
      <c r="D580" s="6" t="s">
        <v>189</v>
      </c>
      <c r="E580" s="42" t="s">
        <v>360</v>
      </c>
      <c r="F580" s="42" t="s">
        <v>50</v>
      </c>
      <c r="G580" s="53"/>
      <c r="H580" s="111"/>
      <c r="I580" s="112"/>
      <c r="J580" s="111"/>
      <c r="K580" s="76"/>
      <c r="L580" s="75"/>
      <c r="M580" s="75"/>
      <c r="AG580" s="75"/>
      <c r="AH580" s="75"/>
    </row>
    <row r="581" spans="1:118" ht="37.5" hidden="1" outlineLevel="1" x14ac:dyDescent="0.3">
      <c r="A581" s="158" t="s">
        <v>58</v>
      </c>
      <c r="B581" s="11">
        <v>936</v>
      </c>
      <c r="C581" s="12" t="s">
        <v>115</v>
      </c>
      <c r="D581" s="6" t="s">
        <v>189</v>
      </c>
      <c r="E581" s="42" t="s">
        <v>360</v>
      </c>
      <c r="F581" s="42" t="s">
        <v>59</v>
      </c>
      <c r="G581" s="53"/>
      <c r="H581" s="111"/>
      <c r="I581" s="112"/>
      <c r="J581" s="111"/>
      <c r="K581" s="76"/>
      <c r="L581" s="75"/>
      <c r="M581" s="75"/>
      <c r="AG581" s="75"/>
      <c r="AH581" s="75"/>
    </row>
    <row r="582" spans="1:118" ht="39" customHeight="1" collapsed="1" x14ac:dyDescent="0.3">
      <c r="A582" s="157" t="s">
        <v>18</v>
      </c>
      <c r="B582" s="11">
        <v>936</v>
      </c>
      <c r="C582" s="12" t="s">
        <v>115</v>
      </c>
      <c r="D582" s="6" t="s">
        <v>189</v>
      </c>
      <c r="E582" s="13" t="s">
        <v>34</v>
      </c>
      <c r="F582" s="13" t="s">
        <v>50</v>
      </c>
      <c r="G582" s="53">
        <f>G583</f>
        <v>254.65700000000001</v>
      </c>
      <c r="H582" s="111"/>
      <c r="I582" s="112"/>
      <c r="J582" s="111"/>
      <c r="K582" s="76"/>
      <c r="L582" s="75"/>
      <c r="M582" s="75"/>
      <c r="AG582" s="75"/>
      <c r="AH582" s="75"/>
    </row>
    <row r="583" spans="1:118" ht="25.5" customHeight="1" x14ac:dyDescent="0.3">
      <c r="A583" s="158" t="s">
        <v>62</v>
      </c>
      <c r="B583" s="11">
        <v>936</v>
      </c>
      <c r="C583" s="12" t="s">
        <v>115</v>
      </c>
      <c r="D583" s="6" t="s">
        <v>189</v>
      </c>
      <c r="E583" s="13" t="s">
        <v>350</v>
      </c>
      <c r="F583" s="13" t="s">
        <v>50</v>
      </c>
      <c r="G583" s="53">
        <f>G584</f>
        <v>254.65700000000001</v>
      </c>
      <c r="H583" s="111"/>
      <c r="I583" s="112"/>
      <c r="J583" s="111"/>
      <c r="K583" s="76"/>
      <c r="L583" s="75"/>
      <c r="M583" s="75"/>
      <c r="AG583" s="75"/>
      <c r="AH583" s="75"/>
    </row>
    <row r="584" spans="1:118" x14ac:dyDescent="0.3">
      <c r="A584" s="138" t="s">
        <v>227</v>
      </c>
      <c r="B584" s="11">
        <v>936</v>
      </c>
      <c r="C584" s="12" t="s">
        <v>115</v>
      </c>
      <c r="D584" s="6" t="s">
        <v>189</v>
      </c>
      <c r="E584" s="12" t="s">
        <v>228</v>
      </c>
      <c r="F584" s="12" t="s">
        <v>50</v>
      </c>
      <c r="G584" s="53">
        <f>G585</f>
        <v>254.65700000000001</v>
      </c>
      <c r="H584" s="111"/>
      <c r="I584" s="112"/>
      <c r="J584" s="111"/>
      <c r="K584" s="76"/>
      <c r="L584" s="75"/>
      <c r="M584" s="75"/>
      <c r="AG584" s="75"/>
      <c r="AH584" s="75"/>
    </row>
    <row r="585" spans="1:118" ht="25.5" customHeight="1" x14ac:dyDescent="0.3">
      <c r="A585" s="138" t="s">
        <v>60</v>
      </c>
      <c r="B585" s="11">
        <v>936</v>
      </c>
      <c r="C585" s="12" t="s">
        <v>115</v>
      </c>
      <c r="D585" s="6" t="s">
        <v>189</v>
      </c>
      <c r="E585" s="12" t="s">
        <v>228</v>
      </c>
      <c r="F585" s="12" t="s">
        <v>61</v>
      </c>
      <c r="G585" s="53">
        <f>CR585+DC585+DN585</f>
        <v>254.65700000000001</v>
      </c>
      <c r="H585" s="111"/>
      <c r="I585" s="112"/>
      <c r="J585" s="111"/>
      <c r="K585" s="76"/>
      <c r="L585" s="75"/>
      <c r="M585" s="75">
        <v>21.5</v>
      </c>
      <c r="N585">
        <v>1.57</v>
      </c>
      <c r="AG585" s="75"/>
      <c r="AH585" s="75"/>
      <c r="AK585" s="75">
        <v>92.4</v>
      </c>
      <c r="AV585" s="187">
        <v>50</v>
      </c>
      <c r="AY585" s="218">
        <v>1680.1586299999999</v>
      </c>
      <c r="BJ585" s="187">
        <v>2.464</v>
      </c>
      <c r="BL585" s="187">
        <v>54.463999999999999</v>
      </c>
      <c r="BN585" s="229">
        <v>50</v>
      </c>
      <c r="CL585" s="187">
        <v>32.436999999999998</v>
      </c>
      <c r="CP585" s="251">
        <v>0.7</v>
      </c>
      <c r="CR585" s="94">
        <f>58+123</f>
        <v>181</v>
      </c>
      <c r="DC585" s="187">
        <v>88.5</v>
      </c>
      <c r="DN585" s="260">
        <v>-14.843</v>
      </c>
    </row>
    <row r="586" spans="1:118" x14ac:dyDescent="0.3">
      <c r="A586" s="138" t="s">
        <v>409</v>
      </c>
      <c r="B586" s="11">
        <v>936</v>
      </c>
      <c r="C586" s="12" t="s">
        <v>115</v>
      </c>
      <c r="D586" s="12" t="s">
        <v>189</v>
      </c>
      <c r="E586" s="12" t="s">
        <v>44</v>
      </c>
      <c r="F586" s="12" t="s">
        <v>50</v>
      </c>
      <c r="G586" s="53">
        <f>G587+G599+G596+G602</f>
        <v>30332.220220000007</v>
      </c>
      <c r="H586" s="111"/>
      <c r="I586" s="112"/>
      <c r="J586" s="111"/>
      <c r="K586" s="76"/>
      <c r="L586" s="75"/>
      <c r="M586" s="75"/>
      <c r="AG586" s="75"/>
      <c r="AH586" s="75"/>
    </row>
    <row r="587" spans="1:118" ht="37.5" x14ac:dyDescent="0.3">
      <c r="A587" s="138" t="s">
        <v>52</v>
      </c>
      <c r="B587" s="11">
        <v>936</v>
      </c>
      <c r="C587" s="12" t="s">
        <v>115</v>
      </c>
      <c r="D587" s="12" t="s">
        <v>189</v>
      </c>
      <c r="E587" s="12" t="s">
        <v>230</v>
      </c>
      <c r="F587" s="12" t="s">
        <v>50</v>
      </c>
      <c r="G587" s="53">
        <f>G588+G593</f>
        <v>30311.420220000007</v>
      </c>
      <c r="H587" s="111"/>
      <c r="I587" s="112"/>
      <c r="J587" s="111"/>
      <c r="K587" s="76"/>
      <c r="L587" s="75"/>
      <c r="M587" s="75"/>
      <c r="AG587" s="75"/>
      <c r="AH587" s="75"/>
    </row>
    <row r="588" spans="1:118" ht="37.5" x14ac:dyDescent="0.3">
      <c r="A588" s="138" t="s">
        <v>229</v>
      </c>
      <c r="B588" s="11">
        <v>936</v>
      </c>
      <c r="C588" s="12" t="s">
        <v>115</v>
      </c>
      <c r="D588" s="12" t="s">
        <v>189</v>
      </c>
      <c r="E588" s="12" t="s">
        <v>231</v>
      </c>
      <c r="F588" s="12" t="s">
        <v>50</v>
      </c>
      <c r="G588" s="53">
        <f>G589+G590+G592+G591</f>
        <v>28105.520220000006</v>
      </c>
      <c r="H588" s="111"/>
      <c r="I588" s="112"/>
      <c r="J588" s="111"/>
      <c r="K588" s="76"/>
      <c r="L588" s="75"/>
      <c r="M588" s="75"/>
      <c r="AG588" s="75"/>
      <c r="AH588" s="75"/>
    </row>
    <row r="589" spans="1:118" ht="93.75" x14ac:dyDescent="0.3">
      <c r="A589" s="138" t="s">
        <v>56</v>
      </c>
      <c r="B589" s="11">
        <v>936</v>
      </c>
      <c r="C589" s="12" t="s">
        <v>115</v>
      </c>
      <c r="D589" s="12" t="s">
        <v>189</v>
      </c>
      <c r="E589" s="12" t="s">
        <v>231</v>
      </c>
      <c r="F589" s="12" t="s">
        <v>57</v>
      </c>
      <c r="G589" s="53">
        <f>CS589+CZ589+DC589+0.6+DN589</f>
        <v>8908.7000000000007</v>
      </c>
      <c r="H589" s="120">
        <v>8925.6</v>
      </c>
      <c r="I589" s="121"/>
      <c r="J589" s="120"/>
      <c r="K589" s="76"/>
      <c r="L589" s="75"/>
      <c r="M589" s="75"/>
      <c r="AG589" s="75"/>
      <c r="AH589" s="75"/>
      <c r="AK589" s="75">
        <v>6979.9</v>
      </c>
      <c r="AS589" s="187">
        <v>2.7185700000000002</v>
      </c>
      <c r="BK589" s="218">
        <v>-600</v>
      </c>
      <c r="BM589" s="95">
        <v>6519.6</v>
      </c>
      <c r="CL589" s="187">
        <v>855</v>
      </c>
      <c r="CP589" s="251">
        <v>1888.6</v>
      </c>
      <c r="CS589" s="255">
        <v>5107</v>
      </c>
      <c r="CZ589" s="187">
        <v>1419</v>
      </c>
      <c r="DC589" s="187">
        <v>2138</v>
      </c>
      <c r="DN589" s="260">
        <v>244.1</v>
      </c>
    </row>
    <row r="590" spans="1:118" ht="37.5" x14ac:dyDescent="0.3">
      <c r="A590" s="138" t="s">
        <v>425</v>
      </c>
      <c r="B590" s="11">
        <v>936</v>
      </c>
      <c r="C590" s="12" t="s">
        <v>115</v>
      </c>
      <c r="D590" s="12" t="s">
        <v>189</v>
      </c>
      <c r="E590" s="12" t="s">
        <v>231</v>
      </c>
      <c r="F590" s="12" t="s">
        <v>59</v>
      </c>
      <c r="G590" s="53">
        <f>CR590+CS590+0.011+CV590+CX590+DC590+DE590+DH590+DJ590+DN590</f>
        <v>19194.777940000004</v>
      </c>
      <c r="H590" s="111">
        <f>10064.2+200+0.02</f>
        <v>10264.220000000001</v>
      </c>
      <c r="I590" s="112"/>
      <c r="J590" s="111"/>
      <c r="K590" s="76"/>
      <c r="L590" s="75"/>
      <c r="M590" s="75"/>
      <c r="T590">
        <v>-22</v>
      </c>
      <c r="AC590">
        <v>207.5</v>
      </c>
      <c r="AE590">
        <v>-1758.19211</v>
      </c>
      <c r="AF590">
        <v>-157.84487999999999</v>
      </c>
      <c r="AG590" s="75">
        <v>797.5</v>
      </c>
      <c r="AH590" s="75">
        <v>159</v>
      </c>
      <c r="AK590" s="75">
        <v>8145.6</v>
      </c>
      <c r="AZ590" s="218">
        <v>-779.5</v>
      </c>
      <c r="BH590" s="225">
        <v>-850</v>
      </c>
      <c r="BK590" s="218">
        <v>-68</v>
      </c>
      <c r="BL590" s="187">
        <v>400</v>
      </c>
      <c r="BM590" s="95">
        <v>9433.9</v>
      </c>
      <c r="BU590" s="146">
        <v>-981.21776999999997</v>
      </c>
      <c r="BX590" s="146">
        <v>530</v>
      </c>
      <c r="CD590" s="218">
        <v>-4.0999999999999996</v>
      </c>
      <c r="CF590" s="187">
        <v>-5.5</v>
      </c>
      <c r="CH590" s="250">
        <v>40</v>
      </c>
      <c r="CJ590" s="187">
        <v>385</v>
      </c>
      <c r="CR590" s="94">
        <f>400+800+2500</f>
        <v>3700</v>
      </c>
      <c r="CS590" s="255">
        <f>6575.9+2126-100</f>
        <v>8601.9</v>
      </c>
      <c r="CV590" s="259">
        <v>8700</v>
      </c>
      <c r="CX590" s="260">
        <f>600</f>
        <v>600</v>
      </c>
      <c r="DC590" s="262">
        <f>-18.1-180</f>
        <v>-198.1</v>
      </c>
      <c r="DE590" s="187">
        <v>-29.233059999999998</v>
      </c>
      <c r="DH590" s="187">
        <v>-530</v>
      </c>
      <c r="DJ590" s="187">
        <v>50.2</v>
      </c>
      <c r="DN590" s="260">
        <v>-1700</v>
      </c>
    </row>
    <row r="591" spans="1:118" ht="37.5" x14ac:dyDescent="0.3">
      <c r="A591" s="138" t="s">
        <v>175</v>
      </c>
      <c r="B591" s="11">
        <v>936</v>
      </c>
      <c r="C591" s="12" t="s">
        <v>115</v>
      </c>
      <c r="D591" s="12" t="s">
        <v>189</v>
      </c>
      <c r="E591" s="12" t="s">
        <v>231</v>
      </c>
      <c r="F591" s="12" t="s">
        <v>176</v>
      </c>
      <c r="G591" s="53">
        <f>DN591</f>
        <v>2.0422799999999999</v>
      </c>
      <c r="H591" s="111"/>
      <c r="I591" s="112"/>
      <c r="J591" s="111"/>
      <c r="K591" s="76"/>
      <c r="L591" s="75"/>
      <c r="M591" s="75"/>
      <c r="AG591" s="75"/>
      <c r="AH591" s="75"/>
      <c r="DC591" s="262"/>
      <c r="DN591" s="260">
        <v>2.0422799999999999</v>
      </c>
    </row>
    <row r="592" spans="1:118" x14ac:dyDescent="0.3">
      <c r="A592" s="138" t="s">
        <v>60</v>
      </c>
      <c r="B592" s="11">
        <v>936</v>
      </c>
      <c r="C592" s="12" t="s">
        <v>115</v>
      </c>
      <c r="D592" s="12" t="s">
        <v>189</v>
      </c>
      <c r="E592" s="12" t="s">
        <v>231</v>
      </c>
      <c r="F592" s="12" t="s">
        <v>61</v>
      </c>
      <c r="G592" s="53">
        <v>0</v>
      </c>
      <c r="H592" s="111"/>
      <c r="I592" s="112"/>
      <c r="J592" s="111"/>
      <c r="K592" s="76"/>
      <c r="L592" s="75"/>
      <c r="M592" s="75"/>
      <c r="N592">
        <f>4</f>
        <v>4</v>
      </c>
      <c r="AG592" s="75"/>
      <c r="AH592" s="75"/>
      <c r="AK592" s="75">
        <v>0</v>
      </c>
    </row>
    <row r="593" spans="1:113" ht="37.5" x14ac:dyDescent="0.3">
      <c r="A593" s="157" t="s">
        <v>374</v>
      </c>
      <c r="B593" s="11">
        <v>936</v>
      </c>
      <c r="C593" s="12" t="s">
        <v>115</v>
      </c>
      <c r="D593" s="12" t="s">
        <v>189</v>
      </c>
      <c r="E593" s="12" t="s">
        <v>373</v>
      </c>
      <c r="F593" s="12" t="s">
        <v>50</v>
      </c>
      <c r="G593" s="53">
        <f>G595+G594</f>
        <v>2205.9</v>
      </c>
      <c r="H593" s="111"/>
      <c r="I593" s="112"/>
      <c r="J593" s="111"/>
      <c r="K593" s="76"/>
      <c r="L593" s="75"/>
      <c r="M593" s="75"/>
      <c r="AG593" s="75"/>
      <c r="AH593" s="75"/>
    </row>
    <row r="594" spans="1:113" ht="93.75" x14ac:dyDescent="0.3">
      <c r="A594" s="138" t="s">
        <v>56</v>
      </c>
      <c r="B594" s="11">
        <v>936</v>
      </c>
      <c r="C594" s="12" t="s">
        <v>115</v>
      </c>
      <c r="D594" s="12" t="s">
        <v>189</v>
      </c>
      <c r="E594" s="12" t="s">
        <v>373</v>
      </c>
      <c r="F594" s="12" t="s">
        <v>57</v>
      </c>
      <c r="G594" s="53">
        <f>DI594</f>
        <v>2205.9</v>
      </c>
      <c r="H594" s="111"/>
      <c r="I594" s="112"/>
      <c r="J594" s="111"/>
      <c r="K594" s="76"/>
      <c r="L594" s="75"/>
      <c r="M594" s="75"/>
      <c r="AG594" s="75">
        <v>456</v>
      </c>
      <c r="AH594" s="75"/>
      <c r="AK594" s="75">
        <v>0</v>
      </c>
      <c r="BK594" s="218">
        <v>140</v>
      </c>
      <c r="DI594" s="260">
        <v>2205.9</v>
      </c>
    </row>
    <row r="595" spans="1:113" x14ac:dyDescent="0.3">
      <c r="A595" s="138" t="s">
        <v>60</v>
      </c>
      <c r="B595" s="11">
        <v>936</v>
      </c>
      <c r="C595" s="12" t="s">
        <v>115</v>
      </c>
      <c r="D595" s="12" t="s">
        <v>189</v>
      </c>
      <c r="E595" s="12" t="s">
        <v>373</v>
      </c>
      <c r="F595" s="12" t="s">
        <v>61</v>
      </c>
      <c r="G595" s="53">
        <v>0</v>
      </c>
      <c r="H595" s="111"/>
      <c r="I595" s="112"/>
      <c r="J595" s="111"/>
      <c r="K595" s="76"/>
      <c r="L595" s="75"/>
      <c r="M595" s="75"/>
      <c r="AG595" s="75"/>
      <c r="AH595" s="75"/>
    </row>
    <row r="596" spans="1:113" hidden="1" outlineLevel="1" x14ac:dyDescent="0.3">
      <c r="A596" s="158" t="s">
        <v>62</v>
      </c>
      <c r="B596" s="11">
        <v>936</v>
      </c>
      <c r="C596" s="12" t="s">
        <v>115</v>
      </c>
      <c r="D596" s="12" t="s">
        <v>189</v>
      </c>
      <c r="E596" s="12" t="s">
        <v>390</v>
      </c>
      <c r="F596" s="12" t="s">
        <v>50</v>
      </c>
      <c r="G596" s="53">
        <f>G597</f>
        <v>0</v>
      </c>
      <c r="H596" s="111"/>
      <c r="I596" s="112"/>
      <c r="J596" s="111"/>
      <c r="K596" s="76"/>
      <c r="L596" s="75"/>
      <c r="M596" s="75"/>
      <c r="AG596" s="75"/>
      <c r="AH596" s="75"/>
    </row>
    <row r="597" spans="1:113" ht="24" hidden="1" customHeight="1" outlineLevel="1" x14ac:dyDescent="0.3">
      <c r="A597" s="138" t="s">
        <v>388</v>
      </c>
      <c r="B597" s="11">
        <v>936</v>
      </c>
      <c r="C597" s="12" t="s">
        <v>115</v>
      </c>
      <c r="D597" s="12" t="s">
        <v>189</v>
      </c>
      <c r="E597" s="12" t="s">
        <v>389</v>
      </c>
      <c r="F597" s="12" t="s">
        <v>50</v>
      </c>
      <c r="G597" s="53">
        <f>G598</f>
        <v>0</v>
      </c>
      <c r="H597" s="111"/>
      <c r="I597" s="112"/>
      <c r="J597" s="111"/>
      <c r="K597" s="76"/>
      <c r="L597" s="75"/>
      <c r="M597" s="75"/>
      <c r="AG597" s="75"/>
      <c r="AH597" s="75"/>
    </row>
    <row r="598" spans="1:113" ht="37.5" hidden="1" outlineLevel="1" x14ac:dyDescent="0.3">
      <c r="A598" s="138" t="s">
        <v>425</v>
      </c>
      <c r="B598" s="11">
        <v>936</v>
      </c>
      <c r="C598" s="12" t="s">
        <v>115</v>
      </c>
      <c r="D598" s="12" t="s">
        <v>189</v>
      </c>
      <c r="E598" s="12" t="s">
        <v>389</v>
      </c>
      <c r="F598" s="12" t="s">
        <v>59</v>
      </c>
      <c r="G598" s="53">
        <v>0</v>
      </c>
      <c r="H598" s="111"/>
      <c r="I598" s="112"/>
      <c r="J598" s="111"/>
      <c r="K598" s="76"/>
      <c r="L598" s="75"/>
      <c r="M598" s="75"/>
      <c r="AG598" s="75"/>
      <c r="AH598" s="75"/>
    </row>
    <row r="599" spans="1:113" ht="75" collapsed="1" x14ac:dyDescent="0.3">
      <c r="A599" s="138" t="s">
        <v>173</v>
      </c>
      <c r="B599" s="11">
        <v>936</v>
      </c>
      <c r="C599" s="12" t="s">
        <v>115</v>
      </c>
      <c r="D599" s="12" t="s">
        <v>189</v>
      </c>
      <c r="E599" s="12" t="s">
        <v>847</v>
      </c>
      <c r="F599" s="12" t="s">
        <v>50</v>
      </c>
      <c r="G599" s="53">
        <f>G600</f>
        <v>20.8</v>
      </c>
      <c r="H599" s="111"/>
      <c r="I599" s="112"/>
      <c r="J599" s="111"/>
      <c r="K599" s="76"/>
      <c r="L599" s="75"/>
      <c r="M599" s="75"/>
      <c r="AG599" s="75"/>
      <c r="AH599" s="75"/>
    </row>
    <row r="600" spans="1:113" ht="37.5" x14ac:dyDescent="0.3">
      <c r="A600" s="138" t="s">
        <v>232</v>
      </c>
      <c r="B600" s="11">
        <v>936</v>
      </c>
      <c r="C600" s="12" t="s">
        <v>115</v>
      </c>
      <c r="D600" s="12" t="s">
        <v>189</v>
      </c>
      <c r="E600" s="12" t="s">
        <v>848</v>
      </c>
      <c r="F600" s="12" t="s">
        <v>50</v>
      </c>
      <c r="G600" s="53">
        <f>G601</f>
        <v>20.8</v>
      </c>
      <c r="H600" s="111"/>
      <c r="I600" s="112"/>
      <c r="J600" s="111"/>
      <c r="K600" s="76"/>
      <c r="L600" s="75"/>
      <c r="M600" s="75"/>
      <c r="AG600" s="75"/>
      <c r="AH600" s="75"/>
    </row>
    <row r="601" spans="1:113" ht="37.5" x14ac:dyDescent="0.3">
      <c r="A601" s="138" t="s">
        <v>425</v>
      </c>
      <c r="B601" s="11">
        <v>936</v>
      </c>
      <c r="C601" s="12" t="s">
        <v>115</v>
      </c>
      <c r="D601" s="12" t="s">
        <v>189</v>
      </c>
      <c r="E601" s="12" t="s">
        <v>848</v>
      </c>
      <c r="F601" s="12" t="s">
        <v>59</v>
      </c>
      <c r="G601" s="53">
        <f>CQ601+DI601</f>
        <v>20.8</v>
      </c>
      <c r="H601" s="111"/>
      <c r="I601" s="112">
        <v>12.8</v>
      </c>
      <c r="J601" s="111"/>
      <c r="K601" s="76"/>
      <c r="L601" s="75"/>
      <c r="M601" s="75"/>
      <c r="AG601" s="75"/>
      <c r="AH601" s="75"/>
      <c r="AK601" s="75">
        <v>12</v>
      </c>
      <c r="BO601" s="230">
        <v>11.5</v>
      </c>
      <c r="CQ601" s="94">
        <v>41.1</v>
      </c>
      <c r="DI601" s="260">
        <v>-20.3</v>
      </c>
    </row>
    <row r="602" spans="1:113" ht="37.5" hidden="1" x14ac:dyDescent="0.3">
      <c r="A602" s="138" t="s">
        <v>452</v>
      </c>
      <c r="B602" s="11">
        <v>936</v>
      </c>
      <c r="C602" s="12" t="s">
        <v>115</v>
      </c>
      <c r="D602" s="12" t="s">
        <v>189</v>
      </c>
      <c r="E602" s="12" t="s">
        <v>453</v>
      </c>
      <c r="F602" s="12" t="s">
        <v>50</v>
      </c>
      <c r="G602" s="53">
        <f>G603</f>
        <v>0</v>
      </c>
      <c r="H602" s="111"/>
      <c r="I602" s="112"/>
      <c r="J602" s="111"/>
      <c r="K602" s="76"/>
      <c r="L602" s="75"/>
      <c r="M602" s="75"/>
      <c r="AG602" s="75"/>
      <c r="AH602" s="75"/>
    </row>
    <row r="603" spans="1:113" ht="37.5" hidden="1" x14ac:dyDescent="0.3">
      <c r="A603" s="138" t="s">
        <v>425</v>
      </c>
      <c r="B603" s="11">
        <v>936</v>
      </c>
      <c r="C603" s="12" t="s">
        <v>115</v>
      </c>
      <c r="D603" s="12" t="s">
        <v>189</v>
      </c>
      <c r="E603" s="12" t="s">
        <v>453</v>
      </c>
      <c r="F603" s="12" t="s">
        <v>59</v>
      </c>
      <c r="G603" s="53">
        <v>0</v>
      </c>
      <c r="H603" s="111"/>
      <c r="I603" s="112"/>
      <c r="J603" s="111"/>
      <c r="K603" s="76"/>
      <c r="L603" s="75"/>
      <c r="M603" s="75"/>
      <c r="AG603" s="75"/>
      <c r="AH603" s="75"/>
      <c r="AK603" s="75">
        <v>0</v>
      </c>
    </row>
    <row r="604" spans="1:113" ht="56.25" hidden="1" x14ac:dyDescent="0.3">
      <c r="A604" s="224" t="s">
        <v>918</v>
      </c>
      <c r="B604" s="11">
        <v>936</v>
      </c>
      <c r="C604" s="12" t="s">
        <v>115</v>
      </c>
      <c r="D604" s="12" t="s">
        <v>189</v>
      </c>
      <c r="E604" s="12" t="s">
        <v>928</v>
      </c>
      <c r="F604" s="12" t="s">
        <v>50</v>
      </c>
      <c r="G604" s="53">
        <f>G605</f>
        <v>0</v>
      </c>
      <c r="H604" s="111"/>
      <c r="I604" s="112"/>
      <c r="J604" s="111"/>
      <c r="K604" s="76"/>
      <c r="L604" s="75"/>
      <c r="M604" s="75"/>
      <c r="AG604" s="75"/>
      <c r="AH604" s="75"/>
    </row>
    <row r="605" spans="1:113" ht="37.5" hidden="1" x14ac:dyDescent="0.3">
      <c r="A605" s="138" t="s">
        <v>425</v>
      </c>
      <c r="B605" s="11">
        <v>936</v>
      </c>
      <c r="C605" s="12" t="s">
        <v>115</v>
      </c>
      <c r="D605" s="12" t="s">
        <v>189</v>
      </c>
      <c r="E605" s="12" t="s">
        <v>928</v>
      </c>
      <c r="F605" s="12" t="s">
        <v>59</v>
      </c>
      <c r="G605" s="53">
        <v>0</v>
      </c>
      <c r="H605" s="111"/>
      <c r="I605" s="112"/>
      <c r="J605" s="111"/>
      <c r="K605" s="76"/>
      <c r="L605" s="75"/>
      <c r="M605" s="75"/>
      <c r="AG605" s="75"/>
      <c r="AH605" s="75"/>
      <c r="CC605" s="237">
        <v>200000</v>
      </c>
    </row>
    <row r="606" spans="1:113" ht="56.25" x14ac:dyDescent="0.3">
      <c r="A606" s="151" t="s">
        <v>20</v>
      </c>
      <c r="B606" s="11">
        <v>936</v>
      </c>
      <c r="C606" s="12" t="s">
        <v>115</v>
      </c>
      <c r="D606" s="6" t="s">
        <v>189</v>
      </c>
      <c r="E606" s="13" t="s">
        <v>21</v>
      </c>
      <c r="F606" s="12" t="s">
        <v>50</v>
      </c>
      <c r="G606" s="83">
        <f>G607+G615+G619</f>
        <v>5604.8330599999999</v>
      </c>
      <c r="H606" s="111"/>
      <c r="I606" s="112"/>
      <c r="J606" s="111"/>
      <c r="K606" s="76"/>
      <c r="L606" s="75"/>
      <c r="M606" s="75"/>
      <c r="AG606" s="75"/>
      <c r="AH606" s="75"/>
    </row>
    <row r="607" spans="1:113" ht="73.5" customHeight="1" x14ac:dyDescent="0.3">
      <c r="A607" s="170" t="s">
        <v>22</v>
      </c>
      <c r="B607" s="11">
        <v>936</v>
      </c>
      <c r="C607" s="12" t="s">
        <v>115</v>
      </c>
      <c r="D607" s="6" t="s">
        <v>189</v>
      </c>
      <c r="E607" s="13" t="s">
        <v>23</v>
      </c>
      <c r="F607" s="12" t="s">
        <v>50</v>
      </c>
      <c r="G607" s="83">
        <f>G608+G612</f>
        <v>5604.8330599999999</v>
      </c>
      <c r="H607" s="111"/>
      <c r="I607" s="112"/>
      <c r="J607" s="111"/>
      <c r="K607" s="76"/>
      <c r="L607" s="75"/>
      <c r="M607" s="75"/>
      <c r="AG607" s="75"/>
      <c r="AH607" s="75"/>
    </row>
    <row r="608" spans="1:113" x14ac:dyDescent="0.3">
      <c r="A608" s="138" t="s">
        <v>62</v>
      </c>
      <c r="B608" s="11">
        <v>936</v>
      </c>
      <c r="C608" s="12" t="s">
        <v>115</v>
      </c>
      <c r="D608" s="6" t="s">
        <v>189</v>
      </c>
      <c r="E608" s="12" t="s">
        <v>222</v>
      </c>
      <c r="F608" s="12" t="s">
        <v>50</v>
      </c>
      <c r="G608" s="83">
        <f>G609</f>
        <v>3481.8999999999996</v>
      </c>
      <c r="H608" s="111"/>
      <c r="I608" s="112"/>
      <c r="J608" s="111"/>
      <c r="K608" s="76"/>
      <c r="L608" s="75"/>
      <c r="M608" s="75"/>
      <c r="AG608" s="75"/>
      <c r="AH608" s="75"/>
    </row>
    <row r="609" spans="1:118" x14ac:dyDescent="0.3">
      <c r="A609" s="138" t="s">
        <v>221</v>
      </c>
      <c r="B609" s="11">
        <v>936</v>
      </c>
      <c r="C609" s="12" t="s">
        <v>115</v>
      </c>
      <c r="D609" s="6" t="s">
        <v>189</v>
      </c>
      <c r="E609" s="12" t="s">
        <v>223</v>
      </c>
      <c r="F609" s="12" t="s">
        <v>50</v>
      </c>
      <c r="G609" s="83">
        <f>G610+G611</f>
        <v>3481.8999999999996</v>
      </c>
      <c r="H609" s="111"/>
      <c r="I609" s="112"/>
      <c r="J609" s="111"/>
      <c r="K609" s="76"/>
      <c r="L609" s="75"/>
      <c r="M609" s="75"/>
      <c r="AG609" s="75"/>
      <c r="AH609" s="75"/>
    </row>
    <row r="610" spans="1:118" ht="37.5" x14ac:dyDescent="0.3">
      <c r="A610" s="138" t="s">
        <v>425</v>
      </c>
      <c r="B610" s="11">
        <v>936</v>
      </c>
      <c r="C610" s="12" t="s">
        <v>115</v>
      </c>
      <c r="D610" s="6" t="s">
        <v>189</v>
      </c>
      <c r="E610" s="12" t="s">
        <v>223</v>
      </c>
      <c r="F610" s="12" t="s">
        <v>59</v>
      </c>
      <c r="G610" s="83">
        <f>CR610+CU610+CV610+CY610+CZ610+DC610+DD610+DF610+DL610+DN610</f>
        <v>3381.8999999999996</v>
      </c>
      <c r="H610" s="111">
        <v>250</v>
      </c>
      <c r="I610" s="112"/>
      <c r="J610" s="111"/>
      <c r="K610" s="76"/>
      <c r="L610" s="75"/>
      <c r="M610" s="75"/>
      <c r="N610">
        <v>150</v>
      </c>
      <c r="Z610">
        <v>10</v>
      </c>
      <c r="AC610">
        <v>100</v>
      </c>
      <c r="AE610">
        <v>200</v>
      </c>
      <c r="AG610" s="75"/>
      <c r="AH610" s="75"/>
      <c r="AV610" s="187">
        <f>100+65</f>
        <v>165</v>
      </c>
      <c r="AX610" s="96">
        <v>100</v>
      </c>
      <c r="BD610" s="218">
        <v>100</v>
      </c>
      <c r="BN610" s="229">
        <v>250</v>
      </c>
      <c r="BU610" s="146">
        <v>120</v>
      </c>
      <c r="BX610" s="146">
        <v>290</v>
      </c>
      <c r="CG610" s="187">
        <v>100</v>
      </c>
      <c r="CH610" s="250">
        <f>500+511.2</f>
        <v>1011.2</v>
      </c>
      <c r="CJ610" s="187">
        <f>100+100+1706.2</f>
        <v>1906.2</v>
      </c>
      <c r="CP610" s="251">
        <v>20</v>
      </c>
      <c r="CR610" s="94">
        <f>100+100+50</f>
        <v>250</v>
      </c>
      <c r="CU610" s="250">
        <f>100+240+538.3</f>
        <v>878.3</v>
      </c>
      <c r="CV610" s="259">
        <v>-121</v>
      </c>
      <c r="CY610" s="187">
        <f>50+269</f>
        <v>319</v>
      </c>
      <c r="CZ610" s="187">
        <v>70</v>
      </c>
      <c r="DC610" s="187">
        <v>100</v>
      </c>
      <c r="DD610" s="187">
        <v>200</v>
      </c>
      <c r="DF610" s="187">
        <f>107.6+100</f>
        <v>207.6</v>
      </c>
      <c r="DL610" s="260">
        <v>100</v>
      </c>
      <c r="DN610" s="260">
        <f>1368+10</f>
        <v>1378</v>
      </c>
    </row>
    <row r="611" spans="1:118" x14ac:dyDescent="0.3">
      <c r="A611" s="138" t="s">
        <v>60</v>
      </c>
      <c r="B611" s="11">
        <v>936</v>
      </c>
      <c r="C611" s="12" t="s">
        <v>115</v>
      </c>
      <c r="D611" s="6" t="s">
        <v>189</v>
      </c>
      <c r="E611" s="12" t="s">
        <v>223</v>
      </c>
      <c r="F611" s="12" t="s">
        <v>61</v>
      </c>
      <c r="G611" s="83">
        <f>CR611</f>
        <v>100</v>
      </c>
      <c r="H611" s="111"/>
      <c r="I611" s="112"/>
      <c r="J611" s="111"/>
      <c r="K611" s="76"/>
      <c r="L611" s="75"/>
      <c r="M611" s="75">
        <v>200</v>
      </c>
      <c r="AG611" s="75"/>
      <c r="AH611" s="75"/>
      <c r="AN611" s="145">
        <v>50</v>
      </c>
      <c r="BE611" s="218">
        <v>100</v>
      </c>
      <c r="BH611" s="225">
        <v>228.8</v>
      </c>
      <c r="BJ611" s="187">
        <v>120</v>
      </c>
      <c r="BN611" s="229">
        <v>10</v>
      </c>
      <c r="BU611" s="146">
        <v>0.72270000000000001</v>
      </c>
      <c r="CF611" s="187">
        <v>2000</v>
      </c>
      <c r="CG611" s="187">
        <v>-2000</v>
      </c>
      <c r="CH611" s="250">
        <v>14</v>
      </c>
      <c r="CR611" s="94">
        <v>100</v>
      </c>
    </row>
    <row r="612" spans="1:118" ht="56.25" x14ac:dyDescent="0.3">
      <c r="A612" s="159" t="s">
        <v>493</v>
      </c>
      <c r="B612" s="11">
        <v>936</v>
      </c>
      <c r="C612" s="12" t="s">
        <v>115</v>
      </c>
      <c r="D612" s="6" t="s">
        <v>189</v>
      </c>
      <c r="E612" s="13" t="s">
        <v>449</v>
      </c>
      <c r="F612" s="12" t="s">
        <v>50</v>
      </c>
      <c r="G612" s="83">
        <f>G614+G613</f>
        <v>2122.9330600000003</v>
      </c>
      <c r="H612" s="111"/>
      <c r="I612" s="112"/>
      <c r="J612" s="111"/>
      <c r="K612" s="76"/>
      <c r="L612" s="75"/>
      <c r="M612" s="75"/>
      <c r="AG612" s="75"/>
      <c r="AH612" s="75"/>
    </row>
    <row r="613" spans="1:118" ht="37.5" x14ac:dyDescent="0.3">
      <c r="A613" s="138" t="s">
        <v>425</v>
      </c>
      <c r="B613" s="11">
        <v>936</v>
      </c>
      <c r="C613" s="12" t="s">
        <v>115</v>
      </c>
      <c r="D613" s="6" t="s">
        <v>189</v>
      </c>
      <c r="E613" s="13" t="s">
        <v>449</v>
      </c>
      <c r="F613" s="12" t="s">
        <v>59</v>
      </c>
      <c r="G613" s="83">
        <f>930.4+CV613+CY613+CZ613+DD613</f>
        <v>1554.1000000000001</v>
      </c>
      <c r="H613" s="111"/>
      <c r="I613" s="112"/>
      <c r="J613" s="111"/>
      <c r="K613" s="76"/>
      <c r="L613" s="75"/>
      <c r="M613" s="75">
        <f>126.3+126.2</f>
        <v>252.5</v>
      </c>
      <c r="AE613">
        <v>19.429559999999999</v>
      </c>
      <c r="AF613">
        <v>217.01588000000001</v>
      </c>
      <c r="AG613" s="75"/>
      <c r="AH613" s="75"/>
      <c r="AS613" s="187">
        <v>116.54316</v>
      </c>
      <c r="AV613" s="187">
        <v>69.607830000000007</v>
      </c>
      <c r="AX613" s="96">
        <v>30.482320000000001</v>
      </c>
      <c r="BH613" s="225">
        <v>10.6463</v>
      </c>
      <c r="BJ613" s="187">
        <f>18.254+45</f>
        <v>63.254000000000005</v>
      </c>
      <c r="BL613" s="187">
        <v>590</v>
      </c>
      <c r="BM613" s="234">
        <v>1916.4</v>
      </c>
      <c r="BU613" s="146">
        <v>59.495069999999998</v>
      </c>
      <c r="CD613" s="218">
        <v>135.32</v>
      </c>
      <c r="CF613" s="187">
        <f>257.85067-2.2092</f>
        <v>255.64146999999997</v>
      </c>
      <c r="CJ613" s="187">
        <v>381.9</v>
      </c>
      <c r="CL613" s="187">
        <v>506.76299999999998</v>
      </c>
      <c r="CP613" s="251">
        <v>405.5</v>
      </c>
      <c r="CV613" s="259">
        <v>121</v>
      </c>
      <c r="CY613" s="187">
        <v>-50</v>
      </c>
      <c r="CZ613" s="187">
        <v>752.7</v>
      </c>
      <c r="DD613" s="187">
        <v>-200</v>
      </c>
    </row>
    <row r="614" spans="1:118" ht="29.25" customHeight="1" x14ac:dyDescent="0.3">
      <c r="A614" s="138" t="s">
        <v>60</v>
      </c>
      <c r="B614" s="11">
        <v>936</v>
      </c>
      <c r="C614" s="12" t="s">
        <v>115</v>
      </c>
      <c r="D614" s="6" t="s">
        <v>189</v>
      </c>
      <c r="E614" s="13" t="s">
        <v>449</v>
      </c>
      <c r="F614" s="12" t="s">
        <v>61</v>
      </c>
      <c r="G614" s="83">
        <f>100+CY614+CZ614+DC614+DE614+DH614+DJ614+DL614+DN614</f>
        <v>568.83305999999993</v>
      </c>
      <c r="H614" s="122"/>
      <c r="I614" s="123"/>
      <c r="J614" s="122"/>
      <c r="K614" s="76"/>
      <c r="L614" s="75"/>
      <c r="M614" s="75">
        <v>1.78</v>
      </c>
      <c r="AC614">
        <f>200.64245</f>
        <v>200.64245</v>
      </c>
      <c r="AE614">
        <v>0.6</v>
      </c>
      <c r="AF614">
        <v>2.202</v>
      </c>
      <c r="AG614" s="75"/>
      <c r="AH614" s="75"/>
      <c r="AK614" s="75">
        <v>0</v>
      </c>
      <c r="AS614" s="187">
        <v>104.48984</v>
      </c>
      <c r="AV614" s="187">
        <v>1.8</v>
      </c>
      <c r="AX614" s="96">
        <v>1.8</v>
      </c>
      <c r="BH614" s="225">
        <f>4.0611+8.68</f>
        <v>12.741099999999999</v>
      </c>
      <c r="BJ614" s="187">
        <f>1+11.1945</f>
        <v>12.1945</v>
      </c>
      <c r="CD614" s="218">
        <f>12.28+5.78601</f>
        <v>18.066009999999999</v>
      </c>
      <c r="CF614" s="187">
        <f>1.324+1.85+2.2092</f>
        <v>5.3832000000000004</v>
      </c>
      <c r="CJ614" s="187">
        <v>3.2</v>
      </c>
      <c r="CL614" s="187">
        <v>3</v>
      </c>
      <c r="CP614" s="251">
        <v>3.5</v>
      </c>
      <c r="CY614" s="187">
        <v>75.2</v>
      </c>
      <c r="CZ614" s="187">
        <v>10</v>
      </c>
      <c r="DC614" s="187">
        <f>122.6+87.5+18.1</f>
        <v>228.2</v>
      </c>
      <c r="DE614" s="187">
        <v>29.233059999999998</v>
      </c>
      <c r="DH614" s="187">
        <v>35</v>
      </c>
      <c r="DJ614" s="187">
        <v>47</v>
      </c>
      <c r="DL614" s="260">
        <v>15.3</v>
      </c>
      <c r="DN614" s="260">
        <v>28.9</v>
      </c>
    </row>
    <row r="615" spans="1:118" hidden="1" outlineLevel="1" x14ac:dyDescent="0.3">
      <c r="A615" s="138" t="s">
        <v>83</v>
      </c>
      <c r="B615" s="11">
        <v>936</v>
      </c>
      <c r="C615" s="12" t="s">
        <v>115</v>
      </c>
      <c r="D615" s="6" t="s">
        <v>189</v>
      </c>
      <c r="E615" s="12" t="s">
        <v>35</v>
      </c>
      <c r="F615" s="12" t="s">
        <v>50</v>
      </c>
      <c r="G615" s="83">
        <f>G616</f>
        <v>0</v>
      </c>
      <c r="H615" s="111"/>
      <c r="I615" s="112"/>
      <c r="J615" s="111"/>
      <c r="K615" s="76"/>
      <c r="L615" s="75"/>
      <c r="M615" s="75"/>
      <c r="AG615" s="75"/>
      <c r="AH615" s="75"/>
    </row>
    <row r="616" spans="1:118" hidden="1" outlineLevel="1" x14ac:dyDescent="0.3">
      <c r="A616" s="138" t="s">
        <v>62</v>
      </c>
      <c r="B616" s="11">
        <v>936</v>
      </c>
      <c r="C616" s="12" t="s">
        <v>115</v>
      </c>
      <c r="D616" s="6" t="s">
        <v>189</v>
      </c>
      <c r="E616" s="12" t="s">
        <v>225</v>
      </c>
      <c r="F616" s="12" t="s">
        <v>50</v>
      </c>
      <c r="G616" s="83">
        <f>G617</f>
        <v>0</v>
      </c>
      <c r="H616" s="111"/>
      <c r="I616" s="112"/>
      <c r="J616" s="111"/>
      <c r="K616" s="76"/>
      <c r="L616" s="75"/>
      <c r="M616" s="75"/>
      <c r="AG616" s="75"/>
      <c r="AH616" s="75"/>
    </row>
    <row r="617" spans="1:118" hidden="1" outlineLevel="1" x14ac:dyDescent="0.3">
      <c r="A617" s="138" t="s">
        <v>224</v>
      </c>
      <c r="B617" s="11">
        <v>936</v>
      </c>
      <c r="C617" s="12" t="s">
        <v>115</v>
      </c>
      <c r="D617" s="6" t="s">
        <v>189</v>
      </c>
      <c r="E617" s="12" t="s">
        <v>226</v>
      </c>
      <c r="F617" s="12" t="s">
        <v>50</v>
      </c>
      <c r="G617" s="83">
        <f>G618</f>
        <v>0</v>
      </c>
      <c r="H617" s="111"/>
      <c r="I617" s="112"/>
      <c r="J617" s="111"/>
      <c r="K617" s="76"/>
      <c r="L617" s="75"/>
      <c r="M617" s="75"/>
      <c r="AG617" s="75"/>
      <c r="AH617" s="75"/>
    </row>
    <row r="618" spans="1:118" ht="37.5" hidden="1" outlineLevel="1" x14ac:dyDescent="0.3">
      <c r="A618" s="138" t="s">
        <v>58</v>
      </c>
      <c r="B618" s="11">
        <v>936</v>
      </c>
      <c r="C618" s="12" t="s">
        <v>115</v>
      </c>
      <c r="D618" s="6" t="s">
        <v>189</v>
      </c>
      <c r="E618" s="12" t="s">
        <v>226</v>
      </c>
      <c r="F618" s="12" t="s">
        <v>59</v>
      </c>
      <c r="G618" s="83"/>
      <c r="H618" s="111"/>
      <c r="I618" s="112"/>
      <c r="J618" s="111"/>
      <c r="K618" s="76"/>
      <c r="L618" s="75"/>
      <c r="M618" s="75"/>
      <c r="AG618" s="75"/>
      <c r="AH618" s="75"/>
    </row>
    <row r="619" spans="1:118" hidden="1" outlineLevel="1" x14ac:dyDescent="0.3">
      <c r="A619" s="183" t="s">
        <v>24</v>
      </c>
      <c r="B619" s="11">
        <v>936</v>
      </c>
      <c r="C619" s="12" t="s">
        <v>115</v>
      </c>
      <c r="D619" s="6" t="s">
        <v>189</v>
      </c>
      <c r="E619" s="12" t="s">
        <v>446</v>
      </c>
      <c r="F619" s="12" t="s">
        <v>50</v>
      </c>
      <c r="G619" s="83">
        <f>G620</f>
        <v>0</v>
      </c>
      <c r="H619" s="111"/>
      <c r="I619" s="112"/>
      <c r="J619" s="111"/>
      <c r="K619" s="76"/>
      <c r="L619" s="75"/>
      <c r="M619" s="75"/>
      <c r="AG619" s="75"/>
      <c r="AH619" s="75"/>
    </row>
    <row r="620" spans="1:118" ht="56.25" hidden="1" outlineLevel="1" x14ac:dyDescent="0.3">
      <c r="A620" s="159" t="s">
        <v>493</v>
      </c>
      <c r="B620" s="11">
        <v>936</v>
      </c>
      <c r="C620" s="12" t="s">
        <v>115</v>
      </c>
      <c r="D620" s="6" t="s">
        <v>189</v>
      </c>
      <c r="E620" s="13" t="s">
        <v>649</v>
      </c>
      <c r="F620" s="12" t="s">
        <v>50</v>
      </c>
      <c r="G620" s="83">
        <f>G621</f>
        <v>0</v>
      </c>
      <c r="H620" s="111"/>
      <c r="I620" s="112"/>
      <c r="J620" s="111"/>
      <c r="K620" s="76"/>
      <c r="L620" s="75"/>
      <c r="M620" s="75"/>
      <c r="AG620" s="75"/>
      <c r="AH620" s="75"/>
    </row>
    <row r="621" spans="1:118" hidden="1" outlineLevel="1" x14ac:dyDescent="0.3">
      <c r="A621" s="138" t="s">
        <v>60</v>
      </c>
      <c r="B621" s="11">
        <v>936</v>
      </c>
      <c r="C621" s="12" t="s">
        <v>115</v>
      </c>
      <c r="D621" s="6" t="s">
        <v>189</v>
      </c>
      <c r="E621" s="13" t="s">
        <v>649</v>
      </c>
      <c r="F621" s="12" t="s">
        <v>61</v>
      </c>
      <c r="G621" s="83">
        <v>0</v>
      </c>
      <c r="H621" s="111"/>
      <c r="I621" s="112"/>
      <c r="J621" s="111"/>
      <c r="K621" s="76"/>
      <c r="L621" s="75"/>
      <c r="M621" s="75"/>
      <c r="AC621">
        <v>3</v>
      </c>
      <c r="AG621" s="75"/>
      <c r="AH621" s="75"/>
      <c r="AK621" s="75">
        <v>0</v>
      </c>
      <c r="CB621" s="218">
        <v>49.786009999999997</v>
      </c>
      <c r="CD621" s="218">
        <v>-5.7860100000000001</v>
      </c>
    </row>
    <row r="622" spans="1:118" ht="37.5" collapsed="1" x14ac:dyDescent="0.3">
      <c r="A622" s="150" t="s">
        <v>233</v>
      </c>
      <c r="B622" s="10">
        <v>936</v>
      </c>
      <c r="C622" s="7" t="s">
        <v>117</v>
      </c>
      <c r="D622" s="17" t="s">
        <v>112</v>
      </c>
      <c r="E622" s="7" t="s">
        <v>49</v>
      </c>
      <c r="F622" s="7" t="s">
        <v>50</v>
      </c>
      <c r="G622" s="64">
        <f>G623+G671</f>
        <v>97849.01</v>
      </c>
      <c r="H622" s="111"/>
      <c r="I622" s="112"/>
      <c r="J622" s="111"/>
      <c r="K622" s="76"/>
      <c r="L622" s="75"/>
      <c r="M622" s="75"/>
      <c r="AG622" s="75"/>
      <c r="AH622" s="75"/>
    </row>
    <row r="623" spans="1:118" ht="60" customHeight="1" x14ac:dyDescent="0.3">
      <c r="A623" s="205" t="s">
        <v>563</v>
      </c>
      <c r="B623" s="10">
        <v>936</v>
      </c>
      <c r="C623" s="7" t="s">
        <v>117</v>
      </c>
      <c r="D623" s="7" t="s">
        <v>169</v>
      </c>
      <c r="E623" s="10" t="s">
        <v>49</v>
      </c>
      <c r="F623" s="7" t="s">
        <v>50</v>
      </c>
      <c r="G623" s="64">
        <f>G643+G652+G660+G667+G669</f>
        <v>97446</v>
      </c>
      <c r="H623" s="111"/>
      <c r="I623" s="112"/>
      <c r="J623" s="111"/>
      <c r="K623" s="76"/>
      <c r="L623" s="75"/>
      <c r="M623" s="75"/>
      <c r="AG623" s="75"/>
      <c r="AH623" s="75"/>
    </row>
    <row r="624" spans="1:118" ht="60.75" hidden="1" customHeight="1" x14ac:dyDescent="0.3">
      <c r="A624" s="151" t="s">
        <v>160</v>
      </c>
      <c r="B624" s="11">
        <v>936</v>
      </c>
      <c r="C624" s="12" t="s">
        <v>117</v>
      </c>
      <c r="D624" s="12" t="s">
        <v>128</v>
      </c>
      <c r="E624" s="13" t="s">
        <v>95</v>
      </c>
      <c r="F624" s="12" t="s">
        <v>50</v>
      </c>
      <c r="G624" s="53">
        <f>G625+G635</f>
        <v>0</v>
      </c>
      <c r="H624" s="111"/>
      <c r="I624" s="112"/>
      <c r="J624" s="111"/>
      <c r="K624" s="76"/>
      <c r="L624" s="75"/>
      <c r="M624" s="75"/>
      <c r="AG624" s="75"/>
      <c r="AH624" s="75"/>
    </row>
    <row r="625" spans="1:34" ht="64.5" hidden="1" customHeight="1" x14ac:dyDescent="0.3">
      <c r="A625" s="151" t="s">
        <v>4</v>
      </c>
      <c r="B625" s="11">
        <v>936</v>
      </c>
      <c r="C625" s="12" t="s">
        <v>117</v>
      </c>
      <c r="D625" s="12" t="s">
        <v>128</v>
      </c>
      <c r="E625" s="13" t="s">
        <v>96</v>
      </c>
      <c r="F625" s="12" t="s">
        <v>50</v>
      </c>
      <c r="G625" s="53">
        <f>G626+G632</f>
        <v>0</v>
      </c>
      <c r="H625" s="111"/>
      <c r="I625" s="112"/>
      <c r="J625" s="111"/>
      <c r="K625" s="76"/>
      <c r="L625" s="75"/>
      <c r="M625" s="75"/>
      <c r="AG625" s="75"/>
      <c r="AH625" s="75"/>
    </row>
    <row r="626" spans="1:34" ht="37.5" hidden="1" x14ac:dyDescent="0.3">
      <c r="A626" s="138" t="s">
        <v>52</v>
      </c>
      <c r="B626" s="11">
        <v>936</v>
      </c>
      <c r="C626" s="12" t="s">
        <v>117</v>
      </c>
      <c r="D626" s="12" t="s">
        <v>128</v>
      </c>
      <c r="E626" s="12" t="s">
        <v>234</v>
      </c>
      <c r="F626" s="12" t="s">
        <v>50</v>
      </c>
      <c r="G626" s="53">
        <f>G627+G630</f>
        <v>0</v>
      </c>
      <c r="H626" s="111"/>
      <c r="I626" s="112"/>
      <c r="J626" s="111"/>
      <c r="K626" s="76"/>
      <c r="L626" s="75"/>
      <c r="M626" s="75"/>
      <c r="AG626" s="75"/>
      <c r="AH626" s="75"/>
    </row>
    <row r="627" spans="1:34" hidden="1" x14ac:dyDescent="0.3">
      <c r="A627" s="138" t="s">
        <v>82</v>
      </c>
      <c r="B627" s="11">
        <v>936</v>
      </c>
      <c r="C627" s="12" t="s">
        <v>117</v>
      </c>
      <c r="D627" s="12" t="s">
        <v>128</v>
      </c>
      <c r="E627" s="12" t="s">
        <v>235</v>
      </c>
      <c r="F627" s="12" t="s">
        <v>50</v>
      </c>
      <c r="G627" s="53">
        <f>G628+G629</f>
        <v>0</v>
      </c>
      <c r="H627" s="111"/>
      <c r="I627" s="112"/>
      <c r="J627" s="111"/>
      <c r="K627" s="76"/>
      <c r="L627" s="75"/>
      <c r="M627" s="75"/>
      <c r="AG627" s="75"/>
      <c r="AH627" s="75"/>
    </row>
    <row r="628" spans="1:34" ht="93.75" hidden="1" x14ac:dyDescent="0.3">
      <c r="A628" s="138" t="s">
        <v>56</v>
      </c>
      <c r="B628" s="11">
        <v>936</v>
      </c>
      <c r="C628" s="12" t="s">
        <v>117</v>
      </c>
      <c r="D628" s="12" t="s">
        <v>128</v>
      </c>
      <c r="E628" s="12" t="s">
        <v>235</v>
      </c>
      <c r="F628" s="12" t="s">
        <v>57</v>
      </c>
      <c r="G628" s="53">
        <v>0</v>
      </c>
      <c r="H628" s="111"/>
      <c r="I628" s="112"/>
      <c r="J628" s="111"/>
      <c r="K628" s="76"/>
      <c r="L628" s="75"/>
      <c r="M628" s="75">
        <v>-1350</v>
      </c>
      <c r="AG628" s="75"/>
      <c r="AH628" s="75"/>
    </row>
    <row r="629" spans="1:34" ht="37.5" hidden="1" x14ac:dyDescent="0.3">
      <c r="A629" s="138" t="s">
        <v>425</v>
      </c>
      <c r="B629" s="11">
        <v>936</v>
      </c>
      <c r="C629" s="12" t="s">
        <v>117</v>
      </c>
      <c r="D629" s="12" t="s">
        <v>128</v>
      </c>
      <c r="E629" s="12" t="s">
        <v>235</v>
      </c>
      <c r="F629" s="12" t="s">
        <v>59</v>
      </c>
      <c r="G629" s="53">
        <v>0</v>
      </c>
      <c r="H629" s="111"/>
      <c r="I629" s="112"/>
      <c r="J629" s="111"/>
      <c r="K629" s="76"/>
      <c r="L629" s="75"/>
      <c r="M629" s="75">
        <v>-97.5</v>
      </c>
      <c r="AG629" s="75"/>
      <c r="AH629" s="75"/>
    </row>
    <row r="630" spans="1:34" ht="37.5" hidden="1" x14ac:dyDescent="0.3">
      <c r="A630" s="157" t="s">
        <v>374</v>
      </c>
      <c r="B630" s="11">
        <v>936</v>
      </c>
      <c r="C630" s="12" t="s">
        <v>117</v>
      </c>
      <c r="D630" s="12" t="s">
        <v>128</v>
      </c>
      <c r="E630" s="12" t="s">
        <v>512</v>
      </c>
      <c r="F630" s="12" t="s">
        <v>50</v>
      </c>
      <c r="G630" s="53">
        <f>G631</f>
        <v>0</v>
      </c>
      <c r="H630" s="111"/>
      <c r="I630" s="112"/>
      <c r="J630" s="111"/>
      <c r="K630" s="76"/>
      <c r="L630" s="75"/>
      <c r="M630" s="75"/>
      <c r="AG630" s="75"/>
      <c r="AH630" s="75"/>
    </row>
    <row r="631" spans="1:34" ht="93.75" hidden="1" x14ac:dyDescent="0.3">
      <c r="A631" s="138" t="s">
        <v>56</v>
      </c>
      <c r="B631" s="11">
        <v>936</v>
      </c>
      <c r="C631" s="12" t="s">
        <v>117</v>
      </c>
      <c r="D631" s="12" t="s">
        <v>128</v>
      </c>
      <c r="E631" s="12" t="s">
        <v>512</v>
      </c>
      <c r="F631" s="12" t="s">
        <v>57</v>
      </c>
      <c r="G631" s="53">
        <v>0</v>
      </c>
      <c r="H631" s="111"/>
      <c r="I631" s="112"/>
      <c r="J631" s="111"/>
      <c r="K631" s="76"/>
      <c r="L631" s="75"/>
      <c r="M631" s="75"/>
      <c r="AG631" s="75"/>
      <c r="AH631" s="75"/>
    </row>
    <row r="632" spans="1:34" ht="56.25" hidden="1" x14ac:dyDescent="0.3">
      <c r="A632" s="138" t="s">
        <v>443</v>
      </c>
      <c r="B632" s="11">
        <v>936</v>
      </c>
      <c r="C632" s="12" t="s">
        <v>117</v>
      </c>
      <c r="D632" s="12" t="s">
        <v>128</v>
      </c>
      <c r="E632" s="12" t="s">
        <v>444</v>
      </c>
      <c r="F632" s="12" t="s">
        <v>50</v>
      </c>
      <c r="G632" s="53">
        <f>G633+G634</f>
        <v>0</v>
      </c>
      <c r="H632" s="111"/>
      <c r="I632" s="112"/>
      <c r="J632" s="111"/>
      <c r="K632" s="76"/>
      <c r="L632" s="75"/>
      <c r="M632" s="75"/>
      <c r="AG632" s="75"/>
      <c r="AH632" s="75"/>
    </row>
    <row r="633" spans="1:34" ht="57.75" hidden="1" customHeight="1" x14ac:dyDescent="0.3">
      <c r="A633" s="138" t="s">
        <v>56</v>
      </c>
      <c r="B633" s="11">
        <v>936</v>
      </c>
      <c r="C633" s="12" t="s">
        <v>117</v>
      </c>
      <c r="D633" s="12" t="s">
        <v>128</v>
      </c>
      <c r="E633" s="12" t="s">
        <v>444</v>
      </c>
      <c r="F633" s="12" t="s">
        <v>57</v>
      </c>
      <c r="G633" s="53"/>
      <c r="H633" s="111"/>
      <c r="I633" s="112"/>
      <c r="J633" s="111"/>
      <c r="K633" s="76"/>
      <c r="L633" s="75"/>
      <c r="M633" s="75"/>
      <c r="AG633" s="75"/>
      <c r="AH633" s="75"/>
    </row>
    <row r="634" spans="1:34" ht="37.5" hidden="1" x14ac:dyDescent="0.3">
      <c r="A634" s="138" t="s">
        <v>425</v>
      </c>
      <c r="B634" s="11">
        <v>936</v>
      </c>
      <c r="C634" s="12" t="s">
        <v>117</v>
      </c>
      <c r="D634" s="12" t="s">
        <v>128</v>
      </c>
      <c r="E634" s="12" t="s">
        <v>444</v>
      </c>
      <c r="F634" s="12" t="s">
        <v>59</v>
      </c>
      <c r="G634" s="53"/>
      <c r="H634" s="111"/>
      <c r="I634" s="112"/>
      <c r="J634" s="111"/>
      <c r="K634" s="76"/>
      <c r="L634" s="75"/>
      <c r="M634" s="75"/>
      <c r="AG634" s="75"/>
      <c r="AH634" s="75"/>
    </row>
    <row r="635" spans="1:34" ht="75" hidden="1" x14ac:dyDescent="0.3">
      <c r="A635" s="151" t="s">
        <v>5</v>
      </c>
      <c r="B635" s="11">
        <v>936</v>
      </c>
      <c r="C635" s="12" t="s">
        <v>117</v>
      </c>
      <c r="D635" s="12" t="s">
        <v>128</v>
      </c>
      <c r="E635" s="13" t="s">
        <v>97</v>
      </c>
      <c r="F635" s="12" t="s">
        <v>50</v>
      </c>
      <c r="G635" s="53">
        <f>G636</f>
        <v>0</v>
      </c>
      <c r="H635" s="111"/>
      <c r="I635" s="112"/>
      <c r="J635" s="111"/>
      <c r="K635" s="76"/>
      <c r="L635" s="75"/>
      <c r="M635" s="75"/>
      <c r="AG635" s="75"/>
      <c r="AH635" s="75"/>
    </row>
    <row r="636" spans="1:34" ht="37.5" hidden="1" x14ac:dyDescent="0.3">
      <c r="A636" s="138" t="s">
        <v>52</v>
      </c>
      <c r="B636" s="11">
        <v>936</v>
      </c>
      <c r="C636" s="12" t="s">
        <v>117</v>
      </c>
      <c r="D636" s="12" t="s">
        <v>128</v>
      </c>
      <c r="E636" s="12" t="s">
        <v>237</v>
      </c>
      <c r="F636" s="12" t="s">
        <v>50</v>
      </c>
      <c r="G636" s="53">
        <f>G637+G641</f>
        <v>0</v>
      </c>
      <c r="H636" s="111"/>
      <c r="I636" s="112"/>
      <c r="J636" s="111"/>
      <c r="K636" s="76"/>
      <c r="L636" s="75"/>
      <c r="M636" s="75"/>
      <c r="AG636" s="75"/>
      <c r="AH636" s="75"/>
    </row>
    <row r="637" spans="1:34" hidden="1" x14ac:dyDescent="0.3">
      <c r="A637" s="138" t="s">
        <v>236</v>
      </c>
      <c r="B637" s="11">
        <v>936</v>
      </c>
      <c r="C637" s="12" t="s">
        <v>117</v>
      </c>
      <c r="D637" s="12" t="s">
        <v>128</v>
      </c>
      <c r="E637" s="12" t="s">
        <v>238</v>
      </c>
      <c r="F637" s="12" t="s">
        <v>50</v>
      </c>
      <c r="G637" s="53">
        <f>G638+G639+G640</f>
        <v>0</v>
      </c>
      <c r="H637" s="111"/>
      <c r="I637" s="112"/>
      <c r="J637" s="111"/>
      <c r="K637" s="76"/>
      <c r="L637" s="75"/>
      <c r="M637" s="75"/>
      <c r="AG637" s="75"/>
      <c r="AH637" s="75"/>
    </row>
    <row r="638" spans="1:34" ht="93.75" hidden="1" x14ac:dyDescent="0.3">
      <c r="A638" s="138" t="s">
        <v>56</v>
      </c>
      <c r="B638" s="11">
        <v>936</v>
      </c>
      <c r="C638" s="12" t="s">
        <v>117</v>
      </c>
      <c r="D638" s="12" t="s">
        <v>128</v>
      </c>
      <c r="E638" s="12" t="s">
        <v>238</v>
      </c>
      <c r="F638" s="12" t="s">
        <v>57</v>
      </c>
      <c r="G638" s="53">
        <v>0</v>
      </c>
      <c r="H638" s="111"/>
      <c r="I638" s="112"/>
      <c r="J638" s="111"/>
      <c r="K638" s="76"/>
      <c r="L638" s="75"/>
      <c r="M638" s="75">
        <v>-1687.1</v>
      </c>
      <c r="AG638" s="75"/>
      <c r="AH638" s="75"/>
    </row>
    <row r="639" spans="1:34" ht="37.5" hidden="1" x14ac:dyDescent="0.3">
      <c r="A639" s="138" t="s">
        <v>425</v>
      </c>
      <c r="B639" s="11">
        <v>936</v>
      </c>
      <c r="C639" s="12" t="s">
        <v>117</v>
      </c>
      <c r="D639" s="12" t="s">
        <v>128</v>
      </c>
      <c r="E639" s="12" t="s">
        <v>238</v>
      </c>
      <c r="F639" s="12" t="s">
        <v>59</v>
      </c>
      <c r="G639" s="53">
        <v>0</v>
      </c>
      <c r="H639" s="111"/>
      <c r="I639" s="112"/>
      <c r="J639" s="111"/>
      <c r="K639" s="76"/>
      <c r="L639" s="75"/>
      <c r="M639" s="75">
        <v>-261.5</v>
      </c>
      <c r="AG639" s="75"/>
      <c r="AH639" s="75"/>
    </row>
    <row r="640" spans="1:34" hidden="1" x14ac:dyDescent="0.3">
      <c r="A640" s="138" t="s">
        <v>60</v>
      </c>
      <c r="B640" s="11">
        <v>936</v>
      </c>
      <c r="C640" s="12" t="s">
        <v>117</v>
      </c>
      <c r="D640" s="12" t="s">
        <v>128</v>
      </c>
      <c r="E640" s="12" t="s">
        <v>238</v>
      </c>
      <c r="F640" s="12" t="s">
        <v>61</v>
      </c>
      <c r="G640" s="53">
        <v>0</v>
      </c>
      <c r="H640" s="111"/>
      <c r="I640" s="112"/>
      <c r="J640" s="111"/>
      <c r="K640" s="76"/>
      <c r="L640" s="75"/>
      <c r="M640" s="75">
        <v>-7.2</v>
      </c>
      <c r="AG640" s="75"/>
      <c r="AH640" s="75"/>
    </row>
    <row r="641" spans="1:118" ht="37.5" hidden="1" x14ac:dyDescent="0.3">
      <c r="A641" s="157" t="s">
        <v>374</v>
      </c>
      <c r="B641" s="11">
        <v>936</v>
      </c>
      <c r="C641" s="12" t="s">
        <v>117</v>
      </c>
      <c r="D641" s="12" t="s">
        <v>128</v>
      </c>
      <c r="E641" s="12" t="s">
        <v>513</v>
      </c>
      <c r="F641" s="12" t="s">
        <v>50</v>
      </c>
      <c r="G641" s="53">
        <f>G642</f>
        <v>0</v>
      </c>
      <c r="H641" s="111"/>
      <c r="I641" s="112"/>
      <c r="J641" s="111"/>
      <c r="K641" s="76"/>
      <c r="L641" s="75"/>
      <c r="M641" s="75"/>
      <c r="AG641" s="75"/>
      <c r="AH641" s="75"/>
    </row>
    <row r="642" spans="1:118" ht="93.75" hidden="1" x14ac:dyDescent="0.3">
      <c r="A642" s="138" t="s">
        <v>56</v>
      </c>
      <c r="B642" s="11">
        <v>936</v>
      </c>
      <c r="C642" s="12" t="s">
        <v>117</v>
      </c>
      <c r="D642" s="12" t="s">
        <v>128</v>
      </c>
      <c r="E642" s="12" t="s">
        <v>513</v>
      </c>
      <c r="F642" s="12" t="s">
        <v>57</v>
      </c>
      <c r="G642" s="53">
        <v>0</v>
      </c>
      <c r="H642" s="111"/>
      <c r="I642" s="112"/>
      <c r="J642" s="111"/>
      <c r="K642" s="76"/>
      <c r="L642" s="75"/>
      <c r="M642" s="75"/>
      <c r="AG642" s="75"/>
      <c r="AH642" s="75"/>
    </row>
    <row r="643" spans="1:118" ht="68.25" customHeight="1" x14ac:dyDescent="0.3">
      <c r="A643" s="151" t="s">
        <v>4</v>
      </c>
      <c r="B643" s="11">
        <v>936</v>
      </c>
      <c r="C643" s="12" t="s">
        <v>117</v>
      </c>
      <c r="D643" s="12" t="s">
        <v>169</v>
      </c>
      <c r="E643" s="12" t="s">
        <v>96</v>
      </c>
      <c r="F643" s="12" t="s">
        <v>50</v>
      </c>
      <c r="G643" s="53">
        <f>G644+G647</f>
        <v>4547.2000000000007</v>
      </c>
      <c r="H643" s="111"/>
      <c r="I643" s="112"/>
      <c r="J643" s="111"/>
      <c r="K643" s="76"/>
      <c r="L643" s="75"/>
      <c r="M643" s="75"/>
      <c r="AG643" s="75"/>
      <c r="AH643" s="75"/>
    </row>
    <row r="644" spans="1:118" ht="56.25" x14ac:dyDescent="0.3">
      <c r="A644" s="138" t="s">
        <v>443</v>
      </c>
      <c r="B644" s="11">
        <v>936</v>
      </c>
      <c r="C644" s="12" t="s">
        <v>117</v>
      </c>
      <c r="D644" s="12" t="s">
        <v>169</v>
      </c>
      <c r="E644" s="12" t="s">
        <v>444</v>
      </c>
      <c r="F644" s="12" t="s">
        <v>50</v>
      </c>
      <c r="G644" s="53">
        <f>G645+G646</f>
        <v>2245.4</v>
      </c>
      <c r="H644" s="111"/>
      <c r="I644" s="112"/>
      <c r="J644" s="111"/>
      <c r="K644" s="76"/>
      <c r="L644" s="75"/>
      <c r="M644" s="75"/>
      <c r="AG644" s="75"/>
      <c r="AH644" s="75"/>
    </row>
    <row r="645" spans="1:118" ht="93.75" x14ac:dyDescent="0.3">
      <c r="A645" s="138" t="s">
        <v>56</v>
      </c>
      <c r="B645" s="11">
        <v>936</v>
      </c>
      <c r="C645" s="12" t="s">
        <v>117</v>
      </c>
      <c r="D645" s="12" t="s">
        <v>169</v>
      </c>
      <c r="E645" s="12" t="s">
        <v>444</v>
      </c>
      <c r="F645" s="12" t="s">
        <v>57</v>
      </c>
      <c r="G645" s="53">
        <f>CV645+DN645</f>
        <v>2167.9</v>
      </c>
      <c r="H645" s="111"/>
      <c r="I645" s="112"/>
      <c r="J645" s="111"/>
      <c r="K645" s="76"/>
      <c r="L645" s="75"/>
      <c r="M645" s="75">
        <v>747.1</v>
      </c>
      <c r="AG645" s="75"/>
      <c r="AH645" s="75"/>
      <c r="AK645" s="75">
        <v>0</v>
      </c>
      <c r="AN645" s="145">
        <v>991.5</v>
      </c>
      <c r="BT645" s="146">
        <v>1869.8</v>
      </c>
      <c r="CD645" s="218">
        <v>1.0249999999999999</v>
      </c>
      <c r="CG645" s="187">
        <v>-1.7310000000000001</v>
      </c>
      <c r="CV645" s="259">
        <v>2056.8000000000002</v>
      </c>
      <c r="DN645" s="260">
        <v>111.1</v>
      </c>
    </row>
    <row r="646" spans="1:118" ht="37.5" x14ac:dyDescent="0.3">
      <c r="A646" s="138" t="s">
        <v>425</v>
      </c>
      <c r="B646" s="11">
        <v>936</v>
      </c>
      <c r="C646" s="12" t="s">
        <v>117</v>
      </c>
      <c r="D646" s="12" t="s">
        <v>169</v>
      </c>
      <c r="E646" s="12" t="s">
        <v>444</v>
      </c>
      <c r="F646" s="12" t="s">
        <v>59</v>
      </c>
      <c r="G646" s="53">
        <f>CV646+DN646</f>
        <v>77.5</v>
      </c>
      <c r="H646" s="111"/>
      <c r="I646" s="112"/>
      <c r="J646" s="111"/>
      <c r="K646" s="76"/>
      <c r="L646" s="75"/>
      <c r="M646" s="75">
        <v>75</v>
      </c>
      <c r="AG646" s="75"/>
      <c r="AH646" s="75"/>
      <c r="AK646" s="75">
        <v>0</v>
      </c>
      <c r="AN646" s="145">
        <v>161.9</v>
      </c>
      <c r="BT646" s="146">
        <v>149.4</v>
      </c>
      <c r="CD646" s="218">
        <v>-1.0249999999999999</v>
      </c>
      <c r="CG646" s="187">
        <v>1.7310000000000001</v>
      </c>
      <c r="CV646" s="259">
        <v>188.6</v>
      </c>
      <c r="DN646" s="260">
        <v>-111.1</v>
      </c>
    </row>
    <row r="647" spans="1:118" x14ac:dyDescent="0.3">
      <c r="A647" s="138" t="s">
        <v>82</v>
      </c>
      <c r="B647" s="11">
        <v>936</v>
      </c>
      <c r="C647" s="12" t="s">
        <v>117</v>
      </c>
      <c r="D647" s="12" t="s">
        <v>169</v>
      </c>
      <c r="E647" s="12" t="s">
        <v>235</v>
      </c>
      <c r="F647" s="12" t="s">
        <v>50</v>
      </c>
      <c r="G647" s="53">
        <f>G648+G649+G650</f>
        <v>2301.8000000000002</v>
      </c>
      <c r="H647" s="111"/>
      <c r="I647" s="112"/>
      <c r="J647" s="111"/>
      <c r="K647" s="76"/>
      <c r="L647" s="75"/>
      <c r="M647" s="75"/>
      <c r="AG647" s="75"/>
      <c r="AH647" s="75"/>
    </row>
    <row r="648" spans="1:118" ht="93.75" x14ac:dyDescent="0.3">
      <c r="A648" s="138" t="s">
        <v>56</v>
      </c>
      <c r="B648" s="11">
        <v>936</v>
      </c>
      <c r="C648" s="12" t="s">
        <v>117</v>
      </c>
      <c r="D648" s="12" t="s">
        <v>169</v>
      </c>
      <c r="E648" s="12" t="s">
        <v>235</v>
      </c>
      <c r="F648" s="12" t="s">
        <v>57</v>
      </c>
      <c r="G648" s="53">
        <f>CS648+CV648+CX648+DD648+DN648</f>
        <v>2147.4</v>
      </c>
      <c r="H648" s="111">
        <v>991.5</v>
      </c>
      <c r="I648" s="112"/>
      <c r="J648" s="111"/>
      <c r="K648" s="76"/>
      <c r="L648" s="75"/>
      <c r="M648" s="75">
        <v>1350</v>
      </c>
      <c r="N648">
        <v>-571.29999999999995</v>
      </c>
      <c r="AG648" s="75"/>
      <c r="AH648" s="75"/>
      <c r="AK648" s="75">
        <v>1681.6</v>
      </c>
      <c r="BM648" s="95">
        <v>1107.3</v>
      </c>
      <c r="BU648" s="146">
        <v>762.5</v>
      </c>
      <c r="BX648" s="146">
        <v>3.1456300000000001</v>
      </c>
      <c r="CF648" s="187">
        <v>1.6719999999999999</v>
      </c>
      <c r="CP648" s="251">
        <v>-400.4</v>
      </c>
      <c r="CS648" s="255">
        <v>1883.9</v>
      </c>
      <c r="CV648" s="259">
        <v>5</v>
      </c>
      <c r="CX648" s="260">
        <v>138.19999999999999</v>
      </c>
      <c r="DD648" s="187">
        <f>1.57282+5</f>
        <v>6.5728200000000001</v>
      </c>
      <c r="DN648" s="260">
        <v>113.72718</v>
      </c>
    </row>
    <row r="649" spans="1:118" ht="37.5" x14ac:dyDescent="0.3">
      <c r="A649" s="138" t="s">
        <v>425</v>
      </c>
      <c r="B649" s="11">
        <v>936</v>
      </c>
      <c r="C649" s="12" t="s">
        <v>117</v>
      </c>
      <c r="D649" s="12" t="s">
        <v>169</v>
      </c>
      <c r="E649" s="12" t="s">
        <v>235</v>
      </c>
      <c r="F649" s="12" t="s">
        <v>59</v>
      </c>
      <c r="G649" s="53">
        <f>CS649+CV649+DD649+DN649</f>
        <v>98</v>
      </c>
      <c r="H649" s="111">
        <f>161.9+273</f>
        <v>434.9</v>
      </c>
      <c r="I649" s="112"/>
      <c r="J649" s="111"/>
      <c r="K649" s="76"/>
      <c r="L649" s="75"/>
      <c r="M649" s="75">
        <v>97.5</v>
      </c>
      <c r="N649">
        <v>195.5</v>
      </c>
      <c r="AG649" s="75"/>
      <c r="AH649" s="75">
        <v>-78.5</v>
      </c>
      <c r="AK649" s="75">
        <v>132.6</v>
      </c>
      <c r="AX649" s="96">
        <v>-273</v>
      </c>
      <c r="BM649" s="95">
        <v>149.4</v>
      </c>
      <c r="BX649" s="146">
        <v>-3.1456300000000001</v>
      </c>
      <c r="CF649" s="187">
        <v>-1.6719999999999999</v>
      </c>
      <c r="CS649" s="255">
        <f>89.3+134</f>
        <v>223.3</v>
      </c>
      <c r="CV649" s="259">
        <v>-5</v>
      </c>
      <c r="DD649" s="187">
        <v>-6.5728200000000001</v>
      </c>
      <c r="DN649" s="260">
        <v>-113.72718</v>
      </c>
    </row>
    <row r="650" spans="1:118" ht="37.5" x14ac:dyDescent="0.3">
      <c r="A650" s="157" t="s">
        <v>374</v>
      </c>
      <c r="B650" s="11">
        <v>936</v>
      </c>
      <c r="C650" s="12" t="s">
        <v>117</v>
      </c>
      <c r="D650" s="12" t="s">
        <v>169</v>
      </c>
      <c r="E650" s="12" t="s">
        <v>714</v>
      </c>
      <c r="F650" s="12" t="s">
        <v>50</v>
      </c>
      <c r="G650" s="53">
        <f>G651</f>
        <v>56.4</v>
      </c>
      <c r="H650" s="111"/>
      <c r="I650" s="112"/>
      <c r="J650" s="111"/>
      <c r="K650" s="76"/>
      <c r="L650" s="75"/>
      <c r="M650" s="75"/>
      <c r="AG650" s="75"/>
      <c r="AH650" s="75"/>
    </row>
    <row r="651" spans="1:118" ht="93.75" x14ac:dyDescent="0.3">
      <c r="A651" s="138" t="s">
        <v>56</v>
      </c>
      <c r="B651" s="11">
        <v>936</v>
      </c>
      <c r="C651" s="12" t="s">
        <v>117</v>
      </c>
      <c r="D651" s="12" t="s">
        <v>169</v>
      </c>
      <c r="E651" s="12" t="s">
        <v>714</v>
      </c>
      <c r="F651" s="12" t="s">
        <v>57</v>
      </c>
      <c r="G651" s="53">
        <f>DI651</f>
        <v>56.4</v>
      </c>
      <c r="H651" s="111"/>
      <c r="I651" s="112"/>
      <c r="J651" s="111"/>
      <c r="K651" s="76"/>
      <c r="L651" s="75"/>
      <c r="M651" s="75"/>
      <c r="AG651" s="75"/>
      <c r="AH651" s="75"/>
      <c r="AP651" s="146">
        <v>38.700000000000003</v>
      </c>
      <c r="DI651" s="260">
        <v>56.4</v>
      </c>
    </row>
    <row r="652" spans="1:118" ht="75" x14ac:dyDescent="0.3">
      <c r="A652" s="151" t="s">
        <v>5</v>
      </c>
      <c r="B652" s="11">
        <v>936</v>
      </c>
      <c r="C652" s="12" t="s">
        <v>117</v>
      </c>
      <c r="D652" s="12" t="s">
        <v>169</v>
      </c>
      <c r="E652" s="13" t="s">
        <v>97</v>
      </c>
      <c r="F652" s="12" t="s">
        <v>50</v>
      </c>
      <c r="G652" s="53">
        <f>G654</f>
        <v>2944.4</v>
      </c>
      <c r="H652" s="111"/>
      <c r="I652" s="112"/>
      <c r="J652" s="111"/>
      <c r="K652" s="76"/>
      <c r="L652" s="75"/>
      <c r="M652" s="75"/>
      <c r="AG652" s="75"/>
      <c r="AH652" s="75"/>
    </row>
    <row r="653" spans="1:118" ht="37.5" x14ac:dyDescent="0.3">
      <c r="A653" s="138" t="s">
        <v>52</v>
      </c>
      <c r="B653" s="11">
        <v>936</v>
      </c>
      <c r="C653" s="12" t="s">
        <v>117</v>
      </c>
      <c r="D653" s="12" t="s">
        <v>169</v>
      </c>
      <c r="E653" s="12" t="s">
        <v>237</v>
      </c>
      <c r="F653" s="12" t="s">
        <v>50</v>
      </c>
      <c r="G653" s="53">
        <f>G654</f>
        <v>2944.4</v>
      </c>
      <c r="H653" s="111"/>
      <c r="I653" s="112"/>
      <c r="J653" s="111"/>
      <c r="K653" s="76"/>
      <c r="L653" s="75"/>
      <c r="M653" s="75"/>
      <c r="AG653" s="75"/>
      <c r="AH653" s="75"/>
    </row>
    <row r="654" spans="1:118" ht="28.5" customHeight="1" x14ac:dyDescent="0.3">
      <c r="A654" s="138" t="s">
        <v>236</v>
      </c>
      <c r="B654" s="11">
        <v>936</v>
      </c>
      <c r="C654" s="12" t="s">
        <v>117</v>
      </c>
      <c r="D654" s="12" t="s">
        <v>169</v>
      </c>
      <c r="E654" s="12" t="s">
        <v>238</v>
      </c>
      <c r="F654" s="12" t="s">
        <v>50</v>
      </c>
      <c r="G654" s="53">
        <f>G655+G656+G657+G663+G658</f>
        <v>2944.4</v>
      </c>
      <c r="H654" s="111"/>
      <c r="I654" s="112"/>
      <c r="J654" s="111"/>
      <c r="K654" s="76"/>
      <c r="L654" s="75"/>
      <c r="M654" s="75"/>
      <c r="AG654" s="75"/>
      <c r="AH654" s="75"/>
    </row>
    <row r="655" spans="1:118" ht="93.75" x14ac:dyDescent="0.3">
      <c r="A655" s="138" t="s">
        <v>56</v>
      </c>
      <c r="B655" s="11">
        <v>936</v>
      </c>
      <c r="C655" s="12" t="s">
        <v>117</v>
      </c>
      <c r="D655" s="12" t="s">
        <v>169</v>
      </c>
      <c r="E655" s="12" t="s">
        <v>238</v>
      </c>
      <c r="F655" s="12" t="s">
        <v>57</v>
      </c>
      <c r="G655" s="53">
        <f>CS655</f>
        <v>2444.9</v>
      </c>
      <c r="H655" s="111">
        <v>1965</v>
      </c>
      <c r="I655" s="112"/>
      <c r="J655" s="111"/>
      <c r="K655" s="76"/>
      <c r="L655" s="75"/>
      <c r="M655" s="75">
        <v>1687.1</v>
      </c>
      <c r="AG655" s="75"/>
      <c r="AH655" s="75"/>
      <c r="AK655" s="75">
        <v>1634.3</v>
      </c>
      <c r="BM655" s="95">
        <v>2025.7</v>
      </c>
      <c r="CP655" s="251">
        <v>379.9</v>
      </c>
      <c r="CS655" s="255">
        <v>2444.9</v>
      </c>
    </row>
    <row r="656" spans="1:118" ht="37.5" x14ac:dyDescent="0.3">
      <c r="A656" s="138" t="s">
        <v>425</v>
      </c>
      <c r="B656" s="11">
        <v>936</v>
      </c>
      <c r="C656" s="12" t="s">
        <v>117</v>
      </c>
      <c r="D656" s="12" t="s">
        <v>169</v>
      </c>
      <c r="E656" s="12" t="s">
        <v>238</v>
      </c>
      <c r="F656" s="12" t="s">
        <v>59</v>
      </c>
      <c r="G656" s="53">
        <f>CS656+CU656+CX656+CZ656+DH656</f>
        <v>425.9</v>
      </c>
      <c r="H656" s="111">
        <v>285</v>
      </c>
      <c r="I656" s="112"/>
      <c r="J656" s="111"/>
      <c r="K656" s="76"/>
      <c r="L656" s="75"/>
      <c r="M656" s="75">
        <v>261.5</v>
      </c>
      <c r="T656">
        <v>5.5</v>
      </c>
      <c r="AG656" s="75"/>
      <c r="AH656" s="75">
        <v>-38.695999999999998</v>
      </c>
      <c r="AK656" s="75">
        <v>342.4</v>
      </c>
      <c r="BL656" s="187">
        <v>-28.321739999999998</v>
      </c>
      <c r="BM656" s="95">
        <v>293.8</v>
      </c>
      <c r="CS656" s="255">
        <f>42.7+230.2</f>
        <v>272.89999999999998</v>
      </c>
      <c r="CU656" s="250">
        <v>81</v>
      </c>
      <c r="CX656" s="260">
        <v>72</v>
      </c>
      <c r="CZ656" s="187">
        <v>280</v>
      </c>
      <c r="DH656" s="187">
        <v>-280</v>
      </c>
    </row>
    <row r="657" spans="1:118" x14ac:dyDescent="0.3">
      <c r="A657" s="138" t="s">
        <v>60</v>
      </c>
      <c r="B657" s="11">
        <v>936</v>
      </c>
      <c r="C657" s="12" t="s">
        <v>117</v>
      </c>
      <c r="D657" s="12" t="s">
        <v>169</v>
      </c>
      <c r="E657" s="12" t="s">
        <v>238</v>
      </c>
      <c r="F657" s="12" t="s">
        <v>61</v>
      </c>
      <c r="G657" s="53">
        <f>CS657+CY657</f>
        <v>42.5</v>
      </c>
      <c r="H657" s="111">
        <v>10</v>
      </c>
      <c r="I657" s="112"/>
      <c r="J657" s="111"/>
      <c r="K657" s="76"/>
      <c r="L657" s="75"/>
      <c r="M657" s="75">
        <v>7.2</v>
      </c>
      <c r="T657">
        <v>5</v>
      </c>
      <c r="AG657" s="75"/>
      <c r="AH657" s="75"/>
      <c r="AK657" s="75">
        <v>0</v>
      </c>
      <c r="BM657" s="95">
        <v>5</v>
      </c>
      <c r="CS657" s="255">
        <v>5</v>
      </c>
      <c r="CY657" s="187">
        <v>37.5</v>
      </c>
    </row>
    <row r="658" spans="1:118" ht="37.5" x14ac:dyDescent="0.3">
      <c r="A658" s="157" t="s">
        <v>374</v>
      </c>
      <c r="B658" s="11">
        <v>936</v>
      </c>
      <c r="C658" s="12" t="s">
        <v>117</v>
      </c>
      <c r="D658" s="12" t="s">
        <v>169</v>
      </c>
      <c r="E658" s="12" t="s">
        <v>715</v>
      </c>
      <c r="F658" s="12" t="s">
        <v>50</v>
      </c>
      <c r="G658" s="53">
        <f>G659</f>
        <v>31.1</v>
      </c>
      <c r="H658" s="111"/>
      <c r="I658" s="112"/>
      <c r="J658" s="111"/>
      <c r="K658" s="76"/>
      <c r="L658" s="75"/>
      <c r="M658" s="75"/>
      <c r="AG658" s="75"/>
      <c r="AH658" s="75"/>
    </row>
    <row r="659" spans="1:118" ht="93.75" x14ac:dyDescent="0.3">
      <c r="A659" s="138" t="s">
        <v>56</v>
      </c>
      <c r="B659" s="11">
        <v>936</v>
      </c>
      <c r="C659" s="12" t="s">
        <v>117</v>
      </c>
      <c r="D659" s="12" t="s">
        <v>169</v>
      </c>
      <c r="E659" s="12" t="s">
        <v>715</v>
      </c>
      <c r="F659" s="12" t="s">
        <v>57</v>
      </c>
      <c r="G659" s="53">
        <f>DI659</f>
        <v>31.1</v>
      </c>
      <c r="H659" s="111"/>
      <c r="I659" s="112"/>
      <c r="J659" s="111"/>
      <c r="K659" s="76"/>
      <c r="L659" s="75"/>
      <c r="M659" s="75"/>
      <c r="AG659" s="75"/>
      <c r="AH659" s="75"/>
      <c r="DI659" s="260">
        <v>31.1</v>
      </c>
    </row>
    <row r="660" spans="1:118" x14ac:dyDescent="0.3">
      <c r="A660" s="138" t="s">
        <v>409</v>
      </c>
      <c r="B660" s="11">
        <v>936</v>
      </c>
      <c r="C660" s="12" t="s">
        <v>117</v>
      </c>
      <c r="D660" s="12" t="s">
        <v>169</v>
      </c>
      <c r="E660" s="12" t="s">
        <v>672</v>
      </c>
      <c r="F660" s="12" t="s">
        <v>50</v>
      </c>
      <c r="G660" s="53">
        <f>G661+G665</f>
        <v>1796.5</v>
      </c>
      <c r="H660" s="111"/>
      <c r="I660" s="112"/>
      <c r="J660" s="111"/>
      <c r="K660" s="76"/>
      <c r="L660" s="75"/>
      <c r="M660" s="75"/>
      <c r="AG660" s="75"/>
      <c r="AH660" s="75"/>
    </row>
    <row r="661" spans="1:118" ht="37.5" hidden="1" x14ac:dyDescent="0.3">
      <c r="A661" s="138" t="s">
        <v>673</v>
      </c>
      <c r="B661" s="11">
        <v>936</v>
      </c>
      <c r="C661" s="12" t="s">
        <v>117</v>
      </c>
      <c r="D661" s="12" t="s">
        <v>169</v>
      </c>
      <c r="E661" s="12" t="s">
        <v>675</v>
      </c>
      <c r="F661" s="12" t="s">
        <v>50</v>
      </c>
      <c r="G661" s="53">
        <f>G662</f>
        <v>0</v>
      </c>
      <c r="H661" s="111"/>
      <c r="I661" s="112"/>
      <c r="J661" s="111"/>
      <c r="K661" s="76"/>
      <c r="L661" s="75"/>
      <c r="M661" s="75"/>
      <c r="AG661" s="75"/>
      <c r="AH661" s="75"/>
    </row>
    <row r="662" spans="1:118" hidden="1" x14ac:dyDescent="0.3">
      <c r="A662" s="138" t="s">
        <v>674</v>
      </c>
      <c r="B662" s="11">
        <v>936</v>
      </c>
      <c r="C662" s="12" t="s">
        <v>117</v>
      </c>
      <c r="D662" s="12" t="s">
        <v>169</v>
      </c>
      <c r="E662" s="12" t="s">
        <v>676</v>
      </c>
      <c r="F662" s="12" t="s">
        <v>59</v>
      </c>
      <c r="G662" s="53">
        <v>0</v>
      </c>
      <c r="H662" s="111"/>
      <c r="I662" s="112"/>
      <c r="J662" s="111"/>
      <c r="K662" s="76"/>
      <c r="L662" s="75"/>
      <c r="M662" s="75"/>
      <c r="AG662" s="75"/>
      <c r="AH662" s="75"/>
      <c r="AK662" s="75">
        <v>1814</v>
      </c>
    </row>
    <row r="663" spans="1:118" ht="37.5" hidden="1" x14ac:dyDescent="0.3">
      <c r="A663" s="157" t="s">
        <v>374</v>
      </c>
      <c r="B663" s="11">
        <v>936</v>
      </c>
      <c r="C663" s="12" t="s">
        <v>117</v>
      </c>
      <c r="D663" s="12" t="s">
        <v>169</v>
      </c>
      <c r="E663" s="12" t="s">
        <v>715</v>
      </c>
      <c r="F663" s="12" t="s">
        <v>50</v>
      </c>
      <c r="G663" s="53">
        <f>G664</f>
        <v>0</v>
      </c>
      <c r="H663" s="111"/>
      <c r="I663" s="112"/>
      <c r="J663" s="111"/>
      <c r="K663" s="76"/>
      <c r="L663" s="75"/>
      <c r="M663" s="75"/>
      <c r="AG663" s="75"/>
      <c r="AH663" s="75"/>
    </row>
    <row r="664" spans="1:118" ht="93.75" hidden="1" x14ac:dyDescent="0.3">
      <c r="A664" s="138" t="s">
        <v>56</v>
      </c>
      <c r="B664" s="11">
        <v>936</v>
      </c>
      <c r="C664" s="12" t="s">
        <v>117</v>
      </c>
      <c r="D664" s="12" t="s">
        <v>169</v>
      </c>
      <c r="E664" s="12" t="s">
        <v>715</v>
      </c>
      <c r="F664" s="12" t="s">
        <v>57</v>
      </c>
      <c r="G664" s="53">
        <v>0</v>
      </c>
      <c r="H664" s="111"/>
      <c r="I664" s="112"/>
      <c r="J664" s="111"/>
      <c r="K664" s="76"/>
      <c r="L664" s="75"/>
      <c r="M664" s="75"/>
      <c r="AG664" s="75"/>
      <c r="AH664" s="75"/>
      <c r="AP664" s="146">
        <v>106.3</v>
      </c>
      <c r="BK664" s="218">
        <v>43.6</v>
      </c>
    </row>
    <row r="665" spans="1:118" ht="37.5" x14ac:dyDescent="0.3">
      <c r="A665" s="138" t="s">
        <v>793</v>
      </c>
      <c r="B665" s="11">
        <v>936</v>
      </c>
      <c r="C665" s="12" t="s">
        <v>117</v>
      </c>
      <c r="D665" s="12" t="s">
        <v>169</v>
      </c>
      <c r="E665" s="12" t="s">
        <v>792</v>
      </c>
      <c r="F665" s="12" t="s">
        <v>50</v>
      </c>
      <c r="G665" s="53">
        <f>G666</f>
        <v>1796.5</v>
      </c>
      <c r="H665" s="111"/>
      <c r="I665" s="112"/>
      <c r="J665" s="111"/>
      <c r="K665" s="76"/>
      <c r="L665" s="75"/>
      <c r="M665" s="75"/>
      <c r="AG665" s="75"/>
      <c r="AH665" s="75"/>
    </row>
    <row r="666" spans="1:118" ht="37.5" x14ac:dyDescent="0.3">
      <c r="A666" s="138" t="s">
        <v>425</v>
      </c>
      <c r="B666" s="11">
        <v>936</v>
      </c>
      <c r="C666" s="12" t="s">
        <v>117</v>
      </c>
      <c r="D666" s="12" t="s">
        <v>169</v>
      </c>
      <c r="E666" s="12" t="s">
        <v>792</v>
      </c>
      <c r="F666" s="12" t="s">
        <v>59</v>
      </c>
      <c r="G666" s="53">
        <f>CR666+CZ666+DN666</f>
        <v>1796.5</v>
      </c>
      <c r="H666" s="111"/>
      <c r="I666" s="112"/>
      <c r="J666" s="111"/>
      <c r="K666" s="76"/>
      <c r="L666" s="75"/>
      <c r="M666" s="75"/>
      <c r="AG666" s="75"/>
      <c r="AH666" s="75"/>
      <c r="BH666" s="225">
        <v>21.87</v>
      </c>
      <c r="BU666" s="146">
        <v>99.15</v>
      </c>
      <c r="CF666" s="187">
        <v>40</v>
      </c>
      <c r="CH666" s="250">
        <v>20</v>
      </c>
      <c r="CL666" s="187">
        <v>33.4</v>
      </c>
      <c r="CR666" s="94">
        <f>288+311.2+70+597.3</f>
        <v>1266.5</v>
      </c>
      <c r="CZ666" s="187">
        <v>500</v>
      </c>
      <c r="DN666" s="260">
        <v>30</v>
      </c>
    </row>
    <row r="667" spans="1:118" ht="56.25" customHeight="1" x14ac:dyDescent="0.3">
      <c r="A667" s="138" t="s">
        <v>817</v>
      </c>
      <c r="B667" s="11">
        <v>936</v>
      </c>
      <c r="C667" s="12" t="s">
        <v>117</v>
      </c>
      <c r="D667" s="12" t="s">
        <v>169</v>
      </c>
      <c r="E667" s="12" t="s">
        <v>818</v>
      </c>
      <c r="F667" s="12" t="s">
        <v>50</v>
      </c>
      <c r="G667" s="53">
        <f>G668</f>
        <v>87275.9</v>
      </c>
      <c r="H667" s="111"/>
      <c r="I667" s="112"/>
      <c r="J667" s="111"/>
      <c r="K667" s="76"/>
      <c r="L667" s="75"/>
      <c r="M667" s="75"/>
      <c r="AG667" s="75"/>
      <c r="AH667" s="75"/>
    </row>
    <row r="668" spans="1:118" ht="56.25" x14ac:dyDescent="0.3">
      <c r="A668" s="138" t="s">
        <v>290</v>
      </c>
      <c r="B668" s="11">
        <v>936</v>
      </c>
      <c r="C668" s="12" t="s">
        <v>117</v>
      </c>
      <c r="D668" s="12" t="s">
        <v>169</v>
      </c>
      <c r="E668" s="12" t="s">
        <v>818</v>
      </c>
      <c r="F668" s="12" t="s">
        <v>291</v>
      </c>
      <c r="G668" s="53">
        <f>CQ668+CW668</f>
        <v>87275.9</v>
      </c>
      <c r="H668" s="111"/>
      <c r="I668" s="112"/>
      <c r="J668" s="111"/>
      <c r="K668" s="76"/>
      <c r="L668" s="75"/>
      <c r="M668" s="75"/>
      <c r="AG668" s="75"/>
      <c r="AH668" s="75"/>
      <c r="BT668" s="146">
        <v>60000</v>
      </c>
      <c r="CQ668" s="94">
        <v>62428.2</v>
      </c>
      <c r="CW668" s="259">
        <v>24847.7</v>
      </c>
    </row>
    <row r="669" spans="1:118" ht="56.25" x14ac:dyDescent="0.3">
      <c r="A669" s="138" t="s">
        <v>817</v>
      </c>
      <c r="B669" s="11">
        <v>936</v>
      </c>
      <c r="C669" s="12" t="s">
        <v>117</v>
      </c>
      <c r="D669" s="12" t="s">
        <v>169</v>
      </c>
      <c r="E669" s="12" t="s">
        <v>821</v>
      </c>
      <c r="F669" s="12" t="s">
        <v>50</v>
      </c>
      <c r="G669" s="53">
        <f>G670</f>
        <v>882</v>
      </c>
      <c r="H669" s="111"/>
      <c r="I669" s="112"/>
      <c r="J669" s="111"/>
      <c r="K669" s="76"/>
      <c r="L669" s="75"/>
      <c r="M669" s="75"/>
      <c r="AG669" s="75"/>
      <c r="AH669" s="75"/>
    </row>
    <row r="670" spans="1:118" ht="56.25" x14ac:dyDescent="0.3">
      <c r="A670" s="138" t="s">
        <v>290</v>
      </c>
      <c r="B670" s="11">
        <v>936</v>
      </c>
      <c r="C670" s="12" t="s">
        <v>117</v>
      </c>
      <c r="D670" s="12" t="s">
        <v>169</v>
      </c>
      <c r="E670" s="12" t="s">
        <v>821</v>
      </c>
      <c r="F670" s="12" t="s">
        <v>291</v>
      </c>
      <c r="G670" s="53">
        <f>CQ670+CV670</f>
        <v>882</v>
      </c>
      <c r="H670" s="111"/>
      <c r="I670" s="112"/>
      <c r="J670" s="111"/>
      <c r="K670" s="76"/>
      <c r="L670" s="75"/>
      <c r="M670" s="75"/>
      <c r="AG670" s="75"/>
      <c r="AH670" s="75"/>
      <c r="BU670" s="146">
        <v>606.1</v>
      </c>
      <c r="CQ670" s="94">
        <v>631</v>
      </c>
      <c r="CV670" s="259">
        <v>251</v>
      </c>
    </row>
    <row r="671" spans="1:118" ht="56.25" x14ac:dyDescent="0.3">
      <c r="A671" s="150" t="s">
        <v>239</v>
      </c>
      <c r="B671" s="10">
        <v>936</v>
      </c>
      <c r="C671" s="7" t="s">
        <v>117</v>
      </c>
      <c r="D671" s="7" t="s">
        <v>240</v>
      </c>
      <c r="E671" s="7" t="s">
        <v>49</v>
      </c>
      <c r="F671" s="7" t="s">
        <v>50</v>
      </c>
      <c r="G671" s="64">
        <f>G672+G680+G682+G683+G691</f>
        <v>403.01</v>
      </c>
      <c r="H671" s="111"/>
      <c r="I671" s="112"/>
      <c r="J671" s="111"/>
      <c r="K671" s="76"/>
      <c r="L671" s="75"/>
      <c r="M671" s="75"/>
      <c r="AG671" s="75"/>
      <c r="AH671" s="75"/>
    </row>
    <row r="672" spans="1:118" ht="58.5" customHeight="1" x14ac:dyDescent="0.3">
      <c r="A672" s="151" t="s">
        <v>0</v>
      </c>
      <c r="B672" s="11">
        <v>936</v>
      </c>
      <c r="C672" s="12" t="s">
        <v>117</v>
      </c>
      <c r="D672" s="12" t="s">
        <v>240</v>
      </c>
      <c r="E672" s="13" t="s">
        <v>92</v>
      </c>
      <c r="F672" s="12" t="s">
        <v>50</v>
      </c>
      <c r="G672" s="53">
        <f>G673</f>
        <v>232</v>
      </c>
      <c r="H672" s="111"/>
      <c r="I672" s="112"/>
      <c r="J672" s="111"/>
      <c r="K672" s="76"/>
      <c r="L672" s="75"/>
      <c r="M672" s="75"/>
      <c r="AG672" s="75"/>
      <c r="AH672" s="75"/>
    </row>
    <row r="673" spans="1:110" ht="38.25" customHeight="1" x14ac:dyDescent="0.3">
      <c r="A673" s="157" t="s">
        <v>1</v>
      </c>
      <c r="B673" s="11">
        <v>936</v>
      </c>
      <c r="C673" s="12" t="s">
        <v>117</v>
      </c>
      <c r="D673" s="12" t="s">
        <v>240</v>
      </c>
      <c r="E673" s="13" t="s">
        <v>93</v>
      </c>
      <c r="F673" s="12" t="s">
        <v>50</v>
      </c>
      <c r="G673" s="53">
        <f>G674</f>
        <v>232</v>
      </c>
      <c r="H673" s="111"/>
      <c r="I673" s="112"/>
      <c r="J673" s="111"/>
      <c r="K673" s="76"/>
      <c r="L673" s="75"/>
      <c r="M673" s="75"/>
      <c r="AG673" s="75"/>
      <c r="AH673" s="75"/>
    </row>
    <row r="674" spans="1:110" x14ac:dyDescent="0.3">
      <c r="A674" s="138" t="s">
        <v>62</v>
      </c>
      <c r="B674" s="11">
        <v>936</v>
      </c>
      <c r="C674" s="12" t="s">
        <v>117</v>
      </c>
      <c r="D674" s="12" t="s">
        <v>240</v>
      </c>
      <c r="E674" s="12" t="s">
        <v>403</v>
      </c>
      <c r="F674" s="12" t="s">
        <v>50</v>
      </c>
      <c r="G674" s="53">
        <f>G675</f>
        <v>232</v>
      </c>
      <c r="H674" s="111"/>
      <c r="I674" s="112"/>
      <c r="J674" s="111"/>
      <c r="K674" s="76"/>
      <c r="L674" s="75"/>
      <c r="M674" s="75"/>
      <c r="AG674" s="75"/>
      <c r="AH674" s="75"/>
    </row>
    <row r="675" spans="1:110" ht="25.5" customHeight="1" x14ac:dyDescent="0.3">
      <c r="A675" s="138" t="s">
        <v>156</v>
      </c>
      <c r="B675" s="11">
        <v>936</v>
      </c>
      <c r="C675" s="12" t="s">
        <v>117</v>
      </c>
      <c r="D675" s="12" t="s">
        <v>240</v>
      </c>
      <c r="E675" s="12" t="s">
        <v>404</v>
      </c>
      <c r="F675" s="12" t="s">
        <v>50</v>
      </c>
      <c r="G675" s="53">
        <f>G677+G678</f>
        <v>232</v>
      </c>
      <c r="H675" s="111"/>
      <c r="I675" s="112"/>
      <c r="J675" s="111"/>
      <c r="K675" s="76"/>
      <c r="L675" s="75"/>
      <c r="M675" s="75"/>
      <c r="AG675" s="75"/>
      <c r="AH675" s="75"/>
    </row>
    <row r="676" spans="1:110" ht="93.75" hidden="1" x14ac:dyDescent="0.3">
      <c r="A676" s="138" t="s">
        <v>56</v>
      </c>
      <c r="B676" s="11">
        <v>936</v>
      </c>
      <c r="C676" s="12" t="s">
        <v>117</v>
      </c>
      <c r="D676" s="12" t="s">
        <v>240</v>
      </c>
      <c r="E676" s="12" t="s">
        <v>404</v>
      </c>
      <c r="F676" s="12" t="s">
        <v>57</v>
      </c>
      <c r="G676" s="68">
        <v>0</v>
      </c>
      <c r="H676" s="111"/>
      <c r="I676" s="112"/>
      <c r="J676" s="111"/>
      <c r="K676" s="76"/>
      <c r="L676" s="75"/>
      <c r="M676" s="75"/>
      <c r="AG676" s="75"/>
      <c r="AH676" s="75"/>
    </row>
    <row r="677" spans="1:110" ht="93.75" x14ac:dyDescent="0.3">
      <c r="A677" s="138" t="s">
        <v>56</v>
      </c>
      <c r="B677" s="11">
        <v>936</v>
      </c>
      <c r="C677" s="12" t="s">
        <v>117</v>
      </c>
      <c r="D677" s="12" t="s">
        <v>240</v>
      </c>
      <c r="E677" s="12" t="s">
        <v>404</v>
      </c>
      <c r="F677" s="12" t="s">
        <v>57</v>
      </c>
      <c r="G677" s="53">
        <f>CR677+DF677</f>
        <v>222</v>
      </c>
      <c r="H677" s="120">
        <v>40</v>
      </c>
      <c r="I677" s="121"/>
      <c r="J677" s="120"/>
      <c r="K677" s="76"/>
      <c r="L677" s="75"/>
      <c r="M677" s="75">
        <v>90</v>
      </c>
      <c r="AG677" s="75"/>
      <c r="AH677" s="75"/>
      <c r="AK677" s="75">
        <v>50</v>
      </c>
      <c r="AV677" s="187">
        <v>50</v>
      </c>
      <c r="AX677" s="96">
        <v>60</v>
      </c>
      <c r="BD677" s="218">
        <v>25</v>
      </c>
      <c r="BE677" s="218">
        <v>25</v>
      </c>
      <c r="BH677" s="225">
        <v>81</v>
      </c>
      <c r="BN677" s="229">
        <v>147</v>
      </c>
      <c r="CD677" s="218">
        <v>75</v>
      </c>
      <c r="CR677" s="94">
        <v>147</v>
      </c>
      <c r="DF677" s="187">
        <v>75</v>
      </c>
    </row>
    <row r="678" spans="1:110" ht="37.5" x14ac:dyDescent="0.3">
      <c r="A678" s="138" t="s">
        <v>425</v>
      </c>
      <c r="B678" s="11">
        <v>936</v>
      </c>
      <c r="C678" s="12" t="s">
        <v>117</v>
      </c>
      <c r="D678" s="12" t="s">
        <v>240</v>
      </c>
      <c r="E678" s="12" t="s">
        <v>404</v>
      </c>
      <c r="F678" s="12" t="s">
        <v>59</v>
      </c>
      <c r="G678" s="68">
        <f>CR678</f>
        <v>10</v>
      </c>
      <c r="H678" s="111">
        <v>10</v>
      </c>
      <c r="I678" s="112"/>
      <c r="J678" s="111"/>
      <c r="K678" s="76"/>
      <c r="L678" s="75"/>
      <c r="M678" s="75">
        <v>-40</v>
      </c>
      <c r="AG678" s="75"/>
      <c r="AH678" s="75"/>
      <c r="AK678" s="75">
        <v>0</v>
      </c>
      <c r="AQ678" s="146">
        <v>5</v>
      </c>
      <c r="AV678" s="187">
        <v>4.25</v>
      </c>
      <c r="BL678" s="187">
        <v>-14.451000000000001</v>
      </c>
      <c r="BN678" s="229">
        <v>10</v>
      </c>
      <c r="CD678" s="218">
        <v>4.5999999999999996</v>
      </c>
      <c r="CR678" s="94">
        <v>10</v>
      </c>
    </row>
    <row r="679" spans="1:110" x14ac:dyDescent="0.3">
      <c r="A679" s="138" t="s">
        <v>687</v>
      </c>
      <c r="B679" s="11">
        <v>936</v>
      </c>
      <c r="C679" s="12" t="s">
        <v>117</v>
      </c>
      <c r="D679" s="12" t="s">
        <v>240</v>
      </c>
      <c r="E679" s="12" t="s">
        <v>873</v>
      </c>
      <c r="F679" s="12" t="s">
        <v>50</v>
      </c>
      <c r="G679" s="68">
        <f>G680</f>
        <v>26.61</v>
      </c>
      <c r="H679" s="111"/>
      <c r="I679" s="112"/>
      <c r="J679" s="111"/>
      <c r="K679" s="76"/>
      <c r="L679" s="75"/>
      <c r="M679" s="75"/>
      <c r="AG679" s="75"/>
      <c r="AH679" s="75"/>
    </row>
    <row r="680" spans="1:110" ht="93.75" x14ac:dyDescent="0.3">
      <c r="A680" s="138" t="s">
        <v>56</v>
      </c>
      <c r="B680" s="11">
        <v>936</v>
      </c>
      <c r="C680" s="12" t="s">
        <v>117</v>
      </c>
      <c r="D680" s="12" t="s">
        <v>240</v>
      </c>
      <c r="E680" s="12" t="s">
        <v>873</v>
      </c>
      <c r="F680" s="12" t="s">
        <v>57</v>
      </c>
      <c r="G680" s="68">
        <f>CQ680</f>
        <v>26.61</v>
      </c>
      <c r="H680" s="111"/>
      <c r="I680" s="112">
        <v>50.5</v>
      </c>
      <c r="J680" s="111"/>
      <c r="K680" s="76"/>
      <c r="L680" s="75"/>
      <c r="M680" s="75"/>
      <c r="AG680" s="75"/>
      <c r="AH680" s="75"/>
      <c r="BC680" s="218">
        <v>-16.399999999999999</v>
      </c>
      <c r="BO680" s="230">
        <v>41.6</v>
      </c>
      <c r="CQ680" s="94">
        <v>26.61</v>
      </c>
    </row>
    <row r="681" spans="1:110" x14ac:dyDescent="0.3">
      <c r="A681" s="138" t="s">
        <v>687</v>
      </c>
      <c r="B681" s="11">
        <v>936</v>
      </c>
      <c r="C681" s="12" t="s">
        <v>117</v>
      </c>
      <c r="D681" s="12" t="s">
        <v>240</v>
      </c>
      <c r="E681" s="12" t="s">
        <v>874</v>
      </c>
      <c r="F681" s="12" t="s">
        <v>50</v>
      </c>
      <c r="G681" s="68">
        <f>G682</f>
        <v>0.4</v>
      </c>
      <c r="H681" s="111"/>
      <c r="I681" s="112"/>
      <c r="J681" s="111"/>
      <c r="K681" s="76"/>
      <c r="L681" s="75"/>
      <c r="M681" s="75"/>
      <c r="AG681" s="75"/>
      <c r="AH681" s="75"/>
    </row>
    <row r="682" spans="1:110" ht="93.75" x14ac:dyDescent="0.3">
      <c r="A682" s="138" t="s">
        <v>56</v>
      </c>
      <c r="B682" s="11">
        <v>936</v>
      </c>
      <c r="C682" s="12" t="s">
        <v>117</v>
      </c>
      <c r="D682" s="12" t="s">
        <v>240</v>
      </c>
      <c r="E682" s="12" t="s">
        <v>874</v>
      </c>
      <c r="F682" s="12" t="s">
        <v>57</v>
      </c>
      <c r="G682" s="68">
        <f>CQ682</f>
        <v>0.4</v>
      </c>
      <c r="H682" s="111"/>
      <c r="I682" s="112"/>
      <c r="J682" s="111">
        <v>0.6</v>
      </c>
      <c r="K682" s="76"/>
      <c r="L682" s="75"/>
      <c r="M682" s="75"/>
      <c r="AG682" s="75"/>
      <c r="AH682" s="75"/>
      <c r="BP682" s="231">
        <v>0.5</v>
      </c>
      <c r="CQ682" s="94">
        <v>0.4</v>
      </c>
    </row>
    <row r="683" spans="1:110" ht="75" hidden="1" x14ac:dyDescent="0.3">
      <c r="A683" s="151" t="s">
        <v>5</v>
      </c>
      <c r="B683" s="11">
        <v>936</v>
      </c>
      <c r="C683" s="12" t="s">
        <v>117</v>
      </c>
      <c r="D683" s="12" t="s">
        <v>240</v>
      </c>
      <c r="E683" s="13" t="s">
        <v>97</v>
      </c>
      <c r="F683" s="12" t="s">
        <v>50</v>
      </c>
      <c r="G683" s="68">
        <f>G684+G688+G689</f>
        <v>0</v>
      </c>
      <c r="H683" s="111"/>
      <c r="I683" s="112"/>
      <c r="J683" s="111"/>
      <c r="K683" s="76"/>
      <c r="L683" s="75"/>
      <c r="M683" s="75"/>
      <c r="AG683" s="75"/>
      <c r="AH683" s="75"/>
    </row>
    <row r="684" spans="1:110" ht="37.5" hidden="1" x14ac:dyDescent="0.3">
      <c r="A684" s="138" t="s">
        <v>52</v>
      </c>
      <c r="B684" s="11">
        <v>936</v>
      </c>
      <c r="C684" s="12" t="s">
        <v>117</v>
      </c>
      <c r="D684" s="12" t="s">
        <v>240</v>
      </c>
      <c r="E684" s="12" t="s">
        <v>237</v>
      </c>
      <c r="F684" s="12" t="s">
        <v>50</v>
      </c>
      <c r="G684" s="68">
        <f>G685</f>
        <v>0</v>
      </c>
      <c r="H684" s="111"/>
      <c r="I684" s="112"/>
      <c r="J684" s="111"/>
      <c r="K684" s="76"/>
      <c r="L684" s="75"/>
      <c r="M684" s="75"/>
      <c r="AG684" s="75"/>
      <c r="AH684" s="75"/>
    </row>
    <row r="685" spans="1:110" hidden="1" x14ac:dyDescent="0.3">
      <c r="A685" s="138" t="s">
        <v>236</v>
      </c>
      <c r="B685" s="11">
        <v>936</v>
      </c>
      <c r="C685" s="12" t="s">
        <v>117</v>
      </c>
      <c r="D685" s="12" t="s">
        <v>240</v>
      </c>
      <c r="E685" s="12" t="s">
        <v>238</v>
      </c>
      <c r="F685" s="12" t="s">
        <v>50</v>
      </c>
      <c r="G685" s="68">
        <f>G686+BL685</f>
        <v>0</v>
      </c>
      <c r="H685" s="111"/>
      <c r="I685" s="112"/>
      <c r="J685" s="111"/>
      <c r="K685" s="76"/>
      <c r="L685" s="75"/>
      <c r="M685" s="75"/>
      <c r="AG685" s="75"/>
      <c r="AH685" s="75"/>
    </row>
    <row r="686" spans="1:110" ht="37.5" hidden="1" x14ac:dyDescent="0.3">
      <c r="A686" s="138" t="s">
        <v>425</v>
      </c>
      <c r="B686" s="11">
        <v>936</v>
      </c>
      <c r="C686" s="12" t="s">
        <v>117</v>
      </c>
      <c r="D686" s="12" t="s">
        <v>240</v>
      </c>
      <c r="E686" s="12" t="s">
        <v>238</v>
      </c>
      <c r="F686" s="12" t="s">
        <v>59</v>
      </c>
      <c r="G686" s="68">
        <v>0</v>
      </c>
      <c r="H686" s="111"/>
      <c r="I686" s="112"/>
      <c r="J686" s="111"/>
      <c r="K686" s="76"/>
      <c r="L686" s="75"/>
      <c r="M686" s="75"/>
      <c r="AG686" s="75"/>
      <c r="AH686" s="75"/>
      <c r="BE686" s="218">
        <v>300</v>
      </c>
      <c r="BH686" s="225">
        <v>-264.06110000000001</v>
      </c>
      <c r="BL686" s="187">
        <v>-35.938000000000002</v>
      </c>
      <c r="CD686" s="218">
        <v>250</v>
      </c>
      <c r="CF686" s="187">
        <v>2.6</v>
      </c>
      <c r="CL686" s="187">
        <v>-252.5</v>
      </c>
    </row>
    <row r="687" spans="1:110" ht="37.5" hidden="1" x14ac:dyDescent="0.3">
      <c r="A687" s="138" t="s">
        <v>787</v>
      </c>
      <c r="B687" s="11">
        <v>936</v>
      </c>
      <c r="C687" s="12" t="s">
        <v>117</v>
      </c>
      <c r="D687" s="12" t="s">
        <v>240</v>
      </c>
      <c r="E687" s="12" t="s">
        <v>916</v>
      </c>
      <c r="F687" s="12" t="s">
        <v>50</v>
      </c>
      <c r="G687" s="68">
        <f>G688</f>
        <v>0</v>
      </c>
      <c r="H687" s="111"/>
      <c r="I687" s="112"/>
      <c r="J687" s="111"/>
      <c r="K687" s="76"/>
      <c r="L687" s="75"/>
      <c r="M687" s="75"/>
      <c r="AG687" s="75"/>
      <c r="AH687" s="75"/>
    </row>
    <row r="688" spans="1:110" ht="37.5" hidden="1" x14ac:dyDescent="0.3">
      <c r="A688" s="138" t="s">
        <v>425</v>
      </c>
      <c r="B688" s="11">
        <v>936</v>
      </c>
      <c r="C688" s="12" t="s">
        <v>117</v>
      </c>
      <c r="D688" s="12" t="s">
        <v>240</v>
      </c>
      <c r="E688" s="12" t="s">
        <v>916</v>
      </c>
      <c r="F688" s="12" t="s">
        <v>59</v>
      </c>
      <c r="G688" s="68">
        <v>0</v>
      </c>
      <c r="H688" s="111"/>
      <c r="I688" s="112"/>
      <c r="J688" s="111"/>
      <c r="K688" s="76"/>
      <c r="L688" s="75"/>
      <c r="M688" s="75"/>
      <c r="AG688" s="75"/>
      <c r="AH688" s="75"/>
      <c r="BE688" s="218">
        <v>300</v>
      </c>
      <c r="CC688" s="237">
        <v>250</v>
      </c>
    </row>
    <row r="689" spans="1:118" ht="37.5" hidden="1" x14ac:dyDescent="0.3">
      <c r="A689" s="138" t="s">
        <v>787</v>
      </c>
      <c r="B689" s="11">
        <v>936</v>
      </c>
      <c r="C689" s="12" t="s">
        <v>117</v>
      </c>
      <c r="D689" s="12" t="s">
        <v>240</v>
      </c>
      <c r="E689" s="12" t="s">
        <v>917</v>
      </c>
      <c r="F689" s="12" t="s">
        <v>50</v>
      </c>
      <c r="G689" s="68">
        <f>G690</f>
        <v>0</v>
      </c>
      <c r="H689" s="111"/>
      <c r="I689" s="112"/>
      <c r="J689" s="111"/>
      <c r="K689" s="76"/>
      <c r="L689" s="75"/>
      <c r="M689" s="75"/>
      <c r="AG689" s="75"/>
      <c r="AH689" s="75"/>
    </row>
    <row r="690" spans="1:118" ht="37.5" hidden="1" x14ac:dyDescent="0.3">
      <c r="A690" s="138" t="s">
        <v>425</v>
      </c>
      <c r="B690" s="11">
        <v>936</v>
      </c>
      <c r="C690" s="12" t="s">
        <v>117</v>
      </c>
      <c r="D690" s="12" t="s">
        <v>240</v>
      </c>
      <c r="E690" s="12" t="s">
        <v>917</v>
      </c>
      <c r="F690" s="12" t="s">
        <v>59</v>
      </c>
      <c r="G690" s="68">
        <v>0</v>
      </c>
      <c r="H690" s="111"/>
      <c r="I690" s="112"/>
      <c r="J690" s="111"/>
      <c r="K690" s="76"/>
      <c r="L690" s="75"/>
      <c r="M690" s="75"/>
      <c r="AG690" s="75"/>
      <c r="AH690" s="75"/>
      <c r="BE690" s="218">
        <v>3.1</v>
      </c>
      <c r="CC690" s="237">
        <v>2.6</v>
      </c>
    </row>
    <row r="691" spans="1:118" ht="73.5" customHeight="1" x14ac:dyDescent="0.3">
      <c r="A691" s="254" t="s">
        <v>970</v>
      </c>
      <c r="B691" s="11">
        <v>936</v>
      </c>
      <c r="C691" s="12" t="s">
        <v>117</v>
      </c>
      <c r="D691" s="12" t="s">
        <v>240</v>
      </c>
      <c r="E691" s="12" t="s">
        <v>968</v>
      </c>
      <c r="F691" s="12" t="s">
        <v>50</v>
      </c>
      <c r="G691" s="68">
        <f>G692</f>
        <v>144</v>
      </c>
      <c r="H691" s="111"/>
      <c r="I691" s="112"/>
      <c r="J691" s="111"/>
      <c r="K691" s="76"/>
      <c r="L691" s="75"/>
      <c r="M691" s="75"/>
      <c r="AG691" s="75"/>
      <c r="AH691" s="75"/>
    </row>
    <row r="692" spans="1:118" ht="37.5" x14ac:dyDescent="0.3">
      <c r="A692" s="138" t="s">
        <v>793</v>
      </c>
      <c r="B692" s="11">
        <v>936</v>
      </c>
      <c r="C692" s="12" t="s">
        <v>117</v>
      </c>
      <c r="D692" s="12" t="s">
        <v>240</v>
      </c>
      <c r="E692" s="12" t="s">
        <v>969</v>
      </c>
      <c r="F692" s="12" t="s">
        <v>50</v>
      </c>
      <c r="G692" s="68">
        <f>G693+G694</f>
        <v>144</v>
      </c>
      <c r="H692" s="111"/>
      <c r="I692" s="112"/>
      <c r="J692" s="111"/>
      <c r="K692" s="76"/>
      <c r="L692" s="75"/>
      <c r="M692" s="75"/>
      <c r="AG692" s="75"/>
      <c r="AH692" s="75"/>
    </row>
    <row r="693" spans="1:118" ht="37.5" x14ac:dyDescent="0.3">
      <c r="A693" s="138" t="s">
        <v>425</v>
      </c>
      <c r="B693" s="11">
        <v>936</v>
      </c>
      <c r="C693" s="12" t="s">
        <v>117</v>
      </c>
      <c r="D693" s="12" t="s">
        <v>240</v>
      </c>
      <c r="E693" s="12" t="s">
        <v>969</v>
      </c>
      <c r="F693" s="12" t="s">
        <v>59</v>
      </c>
      <c r="G693" s="68">
        <f>CR693</f>
        <v>4</v>
      </c>
      <c r="H693" s="111"/>
      <c r="I693" s="112"/>
      <c r="J693" s="111"/>
      <c r="K693" s="76"/>
      <c r="L693" s="75"/>
      <c r="M693" s="75"/>
      <c r="AG693" s="75"/>
      <c r="AH693" s="75"/>
      <c r="CR693" s="94">
        <v>4</v>
      </c>
    </row>
    <row r="694" spans="1:118" ht="56.25" x14ac:dyDescent="0.3">
      <c r="A694" s="138" t="s">
        <v>264</v>
      </c>
      <c r="B694" s="11">
        <v>936</v>
      </c>
      <c r="C694" s="12" t="s">
        <v>117</v>
      </c>
      <c r="D694" s="12" t="s">
        <v>240</v>
      </c>
      <c r="E694" s="12" t="s">
        <v>969</v>
      </c>
      <c r="F694" s="12" t="s">
        <v>261</v>
      </c>
      <c r="G694" s="68">
        <f>DN694</f>
        <v>140</v>
      </c>
      <c r="H694" s="111"/>
      <c r="I694" s="112"/>
      <c r="J694" s="111"/>
      <c r="K694" s="76"/>
      <c r="L694" s="75"/>
      <c r="M694" s="75"/>
      <c r="AG694" s="75"/>
      <c r="AH694" s="75"/>
      <c r="DN694" s="260">
        <v>140</v>
      </c>
    </row>
    <row r="695" spans="1:118" x14ac:dyDescent="0.3">
      <c r="A695" s="150" t="s">
        <v>243</v>
      </c>
      <c r="B695" s="10">
        <v>936</v>
      </c>
      <c r="C695" s="17" t="s">
        <v>121</v>
      </c>
      <c r="D695" s="17" t="s">
        <v>112</v>
      </c>
      <c r="E695" s="10" t="s">
        <v>49</v>
      </c>
      <c r="F695" s="7" t="s">
        <v>50</v>
      </c>
      <c r="G695" s="64">
        <f>G696+G722+G862+G705</f>
        <v>182200.70800000001</v>
      </c>
      <c r="H695" s="111"/>
      <c r="I695" s="112"/>
      <c r="J695" s="111"/>
      <c r="K695" s="76"/>
      <c r="L695" s="75"/>
      <c r="M695" s="75"/>
      <c r="AG695" s="75"/>
      <c r="AH695" s="75"/>
    </row>
    <row r="696" spans="1:118" hidden="1" x14ac:dyDescent="0.3">
      <c r="A696" s="206" t="s">
        <v>244</v>
      </c>
      <c r="B696" s="10">
        <v>936</v>
      </c>
      <c r="C696" s="17" t="s">
        <v>121</v>
      </c>
      <c r="D696" s="17" t="s">
        <v>209</v>
      </c>
      <c r="E696" s="10" t="s">
        <v>49</v>
      </c>
      <c r="F696" s="7" t="s">
        <v>50</v>
      </c>
      <c r="G696" s="64">
        <f>G697</f>
        <v>0</v>
      </c>
      <c r="H696" s="111"/>
      <c r="I696" s="112"/>
      <c r="J696" s="111"/>
      <c r="K696" s="76"/>
      <c r="L696" s="75"/>
      <c r="M696" s="75"/>
      <c r="AG696" s="75"/>
      <c r="AH696" s="75"/>
    </row>
    <row r="697" spans="1:118" ht="45" hidden="1" customHeight="1" x14ac:dyDescent="0.3">
      <c r="A697" s="151" t="s">
        <v>161</v>
      </c>
      <c r="B697" s="11">
        <v>936</v>
      </c>
      <c r="C697" s="6" t="s">
        <v>121</v>
      </c>
      <c r="D697" s="6" t="s">
        <v>209</v>
      </c>
      <c r="E697" s="13" t="s">
        <v>99</v>
      </c>
      <c r="F697" s="12" t="s">
        <v>50</v>
      </c>
      <c r="G697" s="53">
        <f>G698</f>
        <v>0</v>
      </c>
      <c r="H697" s="111"/>
      <c r="I697" s="112"/>
      <c r="J697" s="111"/>
      <c r="K697" s="76"/>
      <c r="L697" s="75"/>
      <c r="M697" s="75"/>
      <c r="AG697" s="75"/>
      <c r="AH697" s="75"/>
    </row>
    <row r="698" spans="1:118" ht="37.5" hidden="1" x14ac:dyDescent="0.3">
      <c r="A698" s="157" t="s">
        <v>10</v>
      </c>
      <c r="B698" s="11">
        <v>936</v>
      </c>
      <c r="C698" s="6" t="s">
        <v>121</v>
      </c>
      <c r="D698" s="6" t="s">
        <v>209</v>
      </c>
      <c r="E698" s="13" t="s">
        <v>28</v>
      </c>
      <c r="F698" s="12" t="s">
        <v>50</v>
      </c>
      <c r="G698" s="53">
        <f>G702+G699</f>
        <v>0</v>
      </c>
      <c r="H698" s="111"/>
      <c r="I698" s="112"/>
      <c r="J698" s="111"/>
      <c r="K698" s="76"/>
      <c r="L698" s="75"/>
      <c r="M698" s="75"/>
      <c r="AG698" s="75"/>
      <c r="AH698" s="75"/>
    </row>
    <row r="699" spans="1:118" hidden="1" x14ac:dyDescent="0.3">
      <c r="A699" s="138" t="s">
        <v>62</v>
      </c>
      <c r="B699" s="11">
        <v>936</v>
      </c>
      <c r="C699" s="6" t="s">
        <v>121</v>
      </c>
      <c r="D699" s="6" t="s">
        <v>209</v>
      </c>
      <c r="E699" s="13" t="s">
        <v>282</v>
      </c>
      <c r="F699" s="12" t="s">
        <v>50</v>
      </c>
      <c r="G699" s="53">
        <f>G700</f>
        <v>0</v>
      </c>
      <c r="H699" s="111"/>
      <c r="I699" s="112"/>
      <c r="J699" s="111"/>
      <c r="K699" s="76"/>
      <c r="L699" s="75"/>
      <c r="M699" s="75"/>
      <c r="AG699" s="75"/>
      <c r="AH699" s="75"/>
    </row>
    <row r="700" spans="1:118" hidden="1" x14ac:dyDescent="0.3">
      <c r="A700" s="138" t="s">
        <v>289</v>
      </c>
      <c r="B700" s="11">
        <v>936</v>
      </c>
      <c r="C700" s="6" t="s">
        <v>121</v>
      </c>
      <c r="D700" s="6" t="s">
        <v>209</v>
      </c>
      <c r="E700" s="13" t="s">
        <v>292</v>
      </c>
      <c r="F700" s="12" t="s">
        <v>50</v>
      </c>
      <c r="G700" s="53">
        <f>G701</f>
        <v>0</v>
      </c>
      <c r="H700" s="111"/>
      <c r="I700" s="112"/>
      <c r="J700" s="111"/>
      <c r="K700" s="76"/>
      <c r="L700" s="75"/>
      <c r="M700" s="75"/>
      <c r="AG700" s="75"/>
      <c r="AH700" s="75"/>
    </row>
    <row r="701" spans="1:118" hidden="1" x14ac:dyDescent="0.3">
      <c r="A701" s="138" t="s">
        <v>60</v>
      </c>
      <c r="B701" s="11">
        <v>936</v>
      </c>
      <c r="C701" s="6" t="s">
        <v>121</v>
      </c>
      <c r="D701" s="6" t="s">
        <v>209</v>
      </c>
      <c r="E701" s="13" t="s">
        <v>292</v>
      </c>
      <c r="F701" s="12" t="s">
        <v>61</v>
      </c>
      <c r="G701" s="53">
        <v>0</v>
      </c>
      <c r="H701" s="111"/>
      <c r="I701" s="112"/>
      <c r="J701" s="111"/>
      <c r="K701" s="76"/>
      <c r="L701" s="75"/>
      <c r="M701" s="75"/>
      <c r="AG701" s="75"/>
      <c r="AH701" s="75"/>
    </row>
    <row r="702" spans="1:118" ht="75" hidden="1" x14ac:dyDescent="0.3">
      <c r="A702" s="138" t="s">
        <v>173</v>
      </c>
      <c r="B702" s="11">
        <v>936</v>
      </c>
      <c r="C702" s="12" t="s">
        <v>121</v>
      </c>
      <c r="D702" s="12" t="s">
        <v>209</v>
      </c>
      <c r="E702" s="12" t="s">
        <v>245</v>
      </c>
      <c r="F702" s="12" t="s">
        <v>50</v>
      </c>
      <c r="G702" s="53">
        <f>G703</f>
        <v>0</v>
      </c>
      <c r="H702" s="111"/>
      <c r="I702" s="112"/>
      <c r="J702" s="111"/>
      <c r="K702" s="76"/>
      <c r="L702" s="75"/>
      <c r="M702" s="75"/>
      <c r="AG702" s="75"/>
      <c r="AH702" s="75"/>
    </row>
    <row r="703" spans="1:118" ht="139.5" hidden="1" customHeight="1" x14ac:dyDescent="0.3">
      <c r="A703" s="138" t="s">
        <v>534</v>
      </c>
      <c r="B703" s="11">
        <v>936</v>
      </c>
      <c r="C703" s="12" t="s">
        <v>121</v>
      </c>
      <c r="D703" s="12" t="s">
        <v>209</v>
      </c>
      <c r="E703" s="12" t="s">
        <v>246</v>
      </c>
      <c r="F703" s="12" t="s">
        <v>50</v>
      </c>
      <c r="G703" s="53">
        <f>G704</f>
        <v>0</v>
      </c>
      <c r="H703" s="111"/>
      <c r="I703" s="112"/>
      <c r="J703" s="111"/>
      <c r="K703" s="76"/>
      <c r="L703" s="75"/>
      <c r="M703" s="75"/>
      <c r="AG703" s="75"/>
      <c r="AH703" s="75"/>
    </row>
    <row r="704" spans="1:118" ht="37.5" hidden="1" x14ac:dyDescent="0.3">
      <c r="A704" s="138" t="s">
        <v>425</v>
      </c>
      <c r="B704" s="11">
        <v>936</v>
      </c>
      <c r="C704" s="12" t="s">
        <v>121</v>
      </c>
      <c r="D704" s="12" t="s">
        <v>209</v>
      </c>
      <c r="E704" s="12" t="s">
        <v>246</v>
      </c>
      <c r="F704" s="12" t="s">
        <v>59</v>
      </c>
      <c r="G704" s="53">
        <v>0</v>
      </c>
      <c r="H704" s="111"/>
      <c r="I704" s="112"/>
      <c r="J704" s="111"/>
      <c r="K704" s="76"/>
      <c r="L704" s="75"/>
      <c r="M704" s="75"/>
      <c r="AG704" s="75"/>
      <c r="AH704" s="75"/>
      <c r="AK704" s="75">
        <v>369.2</v>
      </c>
    </row>
    <row r="705" spans="1:114" x14ac:dyDescent="0.3">
      <c r="A705" s="207" t="s">
        <v>343</v>
      </c>
      <c r="B705" s="70">
        <v>936</v>
      </c>
      <c r="C705" s="39" t="s">
        <v>121</v>
      </c>
      <c r="D705" s="39" t="s">
        <v>130</v>
      </c>
      <c r="E705" s="70" t="s">
        <v>49</v>
      </c>
      <c r="F705" s="39" t="s">
        <v>50</v>
      </c>
      <c r="G705" s="64">
        <f>G712</f>
        <v>700.2</v>
      </c>
      <c r="H705" s="111"/>
      <c r="I705" s="112"/>
      <c r="J705" s="111"/>
      <c r="K705" s="76"/>
      <c r="L705" s="75"/>
      <c r="M705" s="75"/>
      <c r="AG705" s="75"/>
      <c r="AH705" s="75"/>
    </row>
    <row r="706" spans="1:114" ht="46.5" hidden="1" customHeight="1" x14ac:dyDescent="0.3">
      <c r="A706" s="151" t="s">
        <v>161</v>
      </c>
      <c r="B706" s="11">
        <v>936</v>
      </c>
      <c r="C706" s="6" t="s">
        <v>121</v>
      </c>
      <c r="D706" s="6" t="s">
        <v>130</v>
      </c>
      <c r="E706" s="13" t="s">
        <v>99</v>
      </c>
      <c r="F706" s="12" t="s">
        <v>50</v>
      </c>
      <c r="G706" s="53">
        <f>G707</f>
        <v>0</v>
      </c>
      <c r="H706" s="111"/>
      <c r="I706" s="112"/>
      <c r="J706" s="111"/>
      <c r="K706" s="76"/>
      <c r="L706" s="75"/>
      <c r="M706" s="75"/>
      <c r="AG706" s="75"/>
      <c r="AH706" s="75"/>
    </row>
    <row r="707" spans="1:114" hidden="1" x14ac:dyDescent="0.3">
      <c r="A707" s="158" t="s">
        <v>409</v>
      </c>
      <c r="B707" s="11">
        <v>936</v>
      </c>
      <c r="C707" s="12" t="s">
        <v>121</v>
      </c>
      <c r="D707" s="6" t="s">
        <v>130</v>
      </c>
      <c r="E707" s="12" t="s">
        <v>421</v>
      </c>
      <c r="F707" s="12" t="s">
        <v>50</v>
      </c>
      <c r="G707" s="53">
        <f>G708+G710</f>
        <v>0</v>
      </c>
      <c r="H707" s="111"/>
      <c r="I707" s="112"/>
      <c r="J707" s="111"/>
      <c r="K707" s="76"/>
      <c r="L707" s="75"/>
      <c r="M707" s="75"/>
      <c r="AG707" s="75"/>
      <c r="AH707" s="75"/>
    </row>
    <row r="708" spans="1:114" ht="80.25" hidden="1" customHeight="1" x14ac:dyDescent="0.3">
      <c r="A708" s="158" t="s">
        <v>479</v>
      </c>
      <c r="B708" s="11">
        <v>936</v>
      </c>
      <c r="C708" s="12" t="s">
        <v>121</v>
      </c>
      <c r="D708" s="6" t="s">
        <v>130</v>
      </c>
      <c r="E708" s="12" t="s">
        <v>480</v>
      </c>
      <c r="F708" s="12" t="s">
        <v>50</v>
      </c>
      <c r="G708" s="53">
        <f>G709</f>
        <v>0</v>
      </c>
      <c r="H708" s="111"/>
      <c r="I708" s="112"/>
      <c r="J708" s="111"/>
      <c r="K708" s="76"/>
      <c r="L708" s="75"/>
      <c r="M708" s="75"/>
      <c r="AG708" s="75"/>
      <c r="AH708" s="75"/>
    </row>
    <row r="709" spans="1:114" hidden="1" x14ac:dyDescent="0.3">
      <c r="A709" s="138" t="s">
        <v>60</v>
      </c>
      <c r="B709" s="11">
        <v>936</v>
      </c>
      <c r="C709" s="12" t="s">
        <v>121</v>
      </c>
      <c r="D709" s="6" t="s">
        <v>130</v>
      </c>
      <c r="E709" s="12" t="s">
        <v>480</v>
      </c>
      <c r="F709" s="42" t="s">
        <v>61</v>
      </c>
      <c r="G709" s="53">
        <v>0</v>
      </c>
      <c r="H709" s="111"/>
      <c r="I709" s="112"/>
      <c r="J709" s="111"/>
      <c r="K709" s="76"/>
      <c r="L709" s="75"/>
      <c r="M709" s="75"/>
      <c r="AG709" s="75"/>
      <c r="AH709" s="75"/>
    </row>
    <row r="710" spans="1:114" ht="93.75" hidden="1" x14ac:dyDescent="0.3">
      <c r="A710" s="138" t="s">
        <v>481</v>
      </c>
      <c r="B710" s="11">
        <v>936</v>
      </c>
      <c r="C710" s="12" t="s">
        <v>121</v>
      </c>
      <c r="D710" s="6" t="s">
        <v>130</v>
      </c>
      <c r="E710" s="12" t="s">
        <v>482</v>
      </c>
      <c r="F710" s="12" t="s">
        <v>50</v>
      </c>
      <c r="G710" s="53">
        <f>G711</f>
        <v>0</v>
      </c>
      <c r="H710" s="111"/>
      <c r="I710" s="112"/>
      <c r="J710" s="111"/>
      <c r="K710" s="76"/>
      <c r="L710" s="75"/>
      <c r="M710" s="75"/>
      <c r="AG710" s="75"/>
      <c r="AH710" s="75"/>
    </row>
    <row r="711" spans="1:114" hidden="1" x14ac:dyDescent="0.3">
      <c r="A711" s="138" t="s">
        <v>60</v>
      </c>
      <c r="B711" s="11">
        <v>936</v>
      </c>
      <c r="C711" s="12" t="s">
        <v>121</v>
      </c>
      <c r="D711" s="6" t="s">
        <v>130</v>
      </c>
      <c r="E711" s="12" t="s">
        <v>482</v>
      </c>
      <c r="F711" s="42" t="s">
        <v>61</v>
      </c>
      <c r="G711" s="53">
        <v>0</v>
      </c>
      <c r="H711" s="111"/>
      <c r="I711" s="112"/>
      <c r="J711" s="111"/>
      <c r="K711" s="76"/>
      <c r="L711" s="75"/>
      <c r="M711" s="75"/>
      <c r="AG711" s="75"/>
      <c r="AH711" s="75"/>
    </row>
    <row r="712" spans="1:114" ht="49.5" customHeight="1" x14ac:dyDescent="0.3">
      <c r="A712" s="151" t="s">
        <v>161</v>
      </c>
      <c r="B712" s="11">
        <v>936</v>
      </c>
      <c r="C712" s="12" t="s">
        <v>121</v>
      </c>
      <c r="D712" s="12" t="s">
        <v>130</v>
      </c>
      <c r="E712" s="13" t="s">
        <v>99</v>
      </c>
      <c r="F712" s="12" t="s">
        <v>50</v>
      </c>
      <c r="G712" s="53">
        <f>G713</f>
        <v>700.2</v>
      </c>
      <c r="H712" s="111"/>
      <c r="I712" s="112"/>
      <c r="J712" s="111"/>
      <c r="K712" s="76"/>
      <c r="L712" s="75"/>
      <c r="M712" s="75"/>
      <c r="AG712" s="75"/>
      <c r="AH712" s="75"/>
    </row>
    <row r="713" spans="1:114" x14ac:dyDescent="0.3">
      <c r="A713" s="138" t="s">
        <v>409</v>
      </c>
      <c r="B713" s="11">
        <v>936</v>
      </c>
      <c r="C713" s="12" t="s">
        <v>121</v>
      </c>
      <c r="D713" s="12" t="s">
        <v>130</v>
      </c>
      <c r="E713" s="13" t="s">
        <v>421</v>
      </c>
      <c r="F713" s="12" t="s">
        <v>50</v>
      </c>
      <c r="G713" s="53">
        <f>G714</f>
        <v>700.2</v>
      </c>
      <c r="H713" s="111"/>
      <c r="I713" s="112"/>
      <c r="J713" s="111"/>
      <c r="K713" s="76"/>
      <c r="L713" s="75"/>
      <c r="M713" s="75"/>
      <c r="AG713" s="75"/>
      <c r="AH713" s="75"/>
    </row>
    <row r="714" spans="1:114" ht="44.25" customHeight="1" x14ac:dyDescent="0.3">
      <c r="A714" s="171" t="s">
        <v>391</v>
      </c>
      <c r="B714" s="11">
        <v>936</v>
      </c>
      <c r="C714" s="12" t="s">
        <v>121</v>
      </c>
      <c r="D714" s="12" t="s">
        <v>130</v>
      </c>
      <c r="E714" s="12" t="s">
        <v>589</v>
      </c>
      <c r="F714" s="12" t="s">
        <v>50</v>
      </c>
      <c r="G714" s="53">
        <f>G715+G721</f>
        <v>700.2</v>
      </c>
      <c r="H714" s="111"/>
      <c r="I714" s="112"/>
      <c r="J714" s="111"/>
      <c r="K714" s="76"/>
      <c r="L714" s="75"/>
      <c r="M714" s="75"/>
      <c r="AG714" s="75"/>
      <c r="AH714" s="75"/>
    </row>
    <row r="715" spans="1:114" ht="37.5" x14ac:dyDescent="0.3">
      <c r="A715" s="138" t="s">
        <v>425</v>
      </c>
      <c r="B715" s="11">
        <v>936</v>
      </c>
      <c r="C715" s="12" t="s">
        <v>121</v>
      </c>
      <c r="D715" s="12" t="s">
        <v>130</v>
      </c>
      <c r="E715" s="12" t="s">
        <v>589</v>
      </c>
      <c r="F715" s="12" t="s">
        <v>59</v>
      </c>
      <c r="G715" s="53">
        <f>CR715+CU715+DJ715</f>
        <v>700.2</v>
      </c>
      <c r="H715" s="111">
        <v>100</v>
      </c>
      <c r="I715" s="112"/>
      <c r="J715" s="111"/>
      <c r="K715" s="76"/>
      <c r="L715" s="75"/>
      <c r="M715" s="75">
        <v>100</v>
      </c>
      <c r="AG715" s="75"/>
      <c r="AH715" s="75"/>
      <c r="AK715" s="75">
        <v>100</v>
      </c>
      <c r="BN715" s="229">
        <v>100</v>
      </c>
      <c r="CG715" s="187">
        <v>205</v>
      </c>
      <c r="CJ715" s="187">
        <v>-205</v>
      </c>
      <c r="CR715" s="94">
        <v>100</v>
      </c>
      <c r="CU715" s="250">
        <v>600</v>
      </c>
      <c r="DJ715" s="187">
        <v>0.2</v>
      </c>
    </row>
    <row r="716" spans="1:114" ht="56.25" hidden="1" x14ac:dyDescent="0.3">
      <c r="A716" s="200" t="s">
        <v>16</v>
      </c>
      <c r="B716" s="11">
        <v>936</v>
      </c>
      <c r="C716" s="12" t="s">
        <v>121</v>
      </c>
      <c r="D716" s="6" t="s">
        <v>130</v>
      </c>
      <c r="E716" s="13" t="s">
        <v>32</v>
      </c>
      <c r="F716" s="13" t="s">
        <v>50</v>
      </c>
      <c r="G716" s="53">
        <f>G717</f>
        <v>0</v>
      </c>
      <c r="H716" s="111"/>
      <c r="I716" s="112"/>
      <c r="J716" s="111"/>
      <c r="K716" s="76"/>
      <c r="L716" s="75"/>
      <c r="M716" s="75"/>
      <c r="AG716" s="75"/>
      <c r="AH716" s="75"/>
    </row>
    <row r="717" spans="1:114" hidden="1" x14ac:dyDescent="0.3">
      <c r="A717" s="158" t="s">
        <v>409</v>
      </c>
      <c r="B717" s="11">
        <v>936</v>
      </c>
      <c r="C717" s="12" t="s">
        <v>121</v>
      </c>
      <c r="D717" s="6" t="s">
        <v>130</v>
      </c>
      <c r="E717" s="12" t="s">
        <v>44</v>
      </c>
      <c r="F717" s="12" t="s">
        <v>50</v>
      </c>
      <c r="G717" s="53">
        <f>G718</f>
        <v>0</v>
      </c>
      <c r="H717" s="111"/>
      <c r="I717" s="112"/>
      <c r="J717" s="111"/>
      <c r="K717" s="76"/>
      <c r="L717" s="75"/>
      <c r="M717" s="75"/>
      <c r="AG717" s="75"/>
      <c r="AH717" s="75"/>
    </row>
    <row r="718" spans="1:114" hidden="1" x14ac:dyDescent="0.3">
      <c r="A718" s="138" t="s">
        <v>62</v>
      </c>
      <c r="B718" s="11">
        <v>936</v>
      </c>
      <c r="C718" s="12" t="s">
        <v>121</v>
      </c>
      <c r="D718" s="6" t="s">
        <v>130</v>
      </c>
      <c r="E718" s="12" t="s">
        <v>390</v>
      </c>
      <c r="F718" s="12" t="s">
        <v>50</v>
      </c>
      <c r="G718" s="53">
        <f>G719</f>
        <v>0</v>
      </c>
      <c r="H718" s="111"/>
      <c r="I718" s="112"/>
      <c r="J718" s="111"/>
      <c r="K718" s="76"/>
      <c r="L718" s="75"/>
      <c r="M718" s="75"/>
      <c r="AG718" s="75"/>
      <c r="AH718" s="75"/>
    </row>
    <row r="719" spans="1:114" ht="37.5" hidden="1" x14ac:dyDescent="0.3">
      <c r="A719" s="171" t="s">
        <v>391</v>
      </c>
      <c r="B719" s="11">
        <v>936</v>
      </c>
      <c r="C719" s="12" t="s">
        <v>121</v>
      </c>
      <c r="D719" s="6" t="s">
        <v>130</v>
      </c>
      <c r="E719" s="12" t="s">
        <v>392</v>
      </c>
      <c r="F719" s="12" t="s">
        <v>50</v>
      </c>
      <c r="G719" s="53">
        <f>G720</f>
        <v>0</v>
      </c>
      <c r="H719" s="111"/>
      <c r="I719" s="112"/>
      <c r="J719" s="111"/>
      <c r="K719" s="76"/>
      <c r="L719" s="75"/>
      <c r="M719" s="75"/>
      <c r="AG719" s="75"/>
      <c r="AH719" s="75"/>
    </row>
    <row r="720" spans="1:114" ht="37.5" hidden="1" x14ac:dyDescent="0.3">
      <c r="A720" s="138" t="s">
        <v>425</v>
      </c>
      <c r="B720" s="11">
        <v>936</v>
      </c>
      <c r="C720" s="12" t="s">
        <v>121</v>
      </c>
      <c r="D720" s="6" t="s">
        <v>130</v>
      </c>
      <c r="E720" s="12" t="s">
        <v>392</v>
      </c>
      <c r="F720" s="12" t="s">
        <v>59</v>
      </c>
      <c r="G720" s="53">
        <v>0</v>
      </c>
      <c r="H720" s="111"/>
      <c r="I720" s="112"/>
      <c r="J720" s="111"/>
      <c r="K720" s="76"/>
      <c r="L720" s="75"/>
      <c r="M720" s="75">
        <v>-100</v>
      </c>
      <c r="AG720" s="75"/>
      <c r="AH720" s="75"/>
    </row>
    <row r="721" spans="1:118" hidden="1" x14ac:dyDescent="0.3">
      <c r="A721" s="158" t="s">
        <v>60</v>
      </c>
      <c r="B721" s="11">
        <v>936</v>
      </c>
      <c r="C721" s="12" t="s">
        <v>121</v>
      </c>
      <c r="D721" s="12" t="s">
        <v>130</v>
      </c>
      <c r="E721" s="12" t="s">
        <v>589</v>
      </c>
      <c r="F721" s="12" t="s">
        <v>61</v>
      </c>
      <c r="G721" s="53">
        <v>0</v>
      </c>
      <c r="H721" s="111"/>
      <c r="I721" s="112"/>
      <c r="J721" s="111"/>
      <c r="K721" s="76"/>
      <c r="L721" s="75"/>
      <c r="M721" s="75"/>
      <c r="AG721" s="75"/>
      <c r="AH721" s="75"/>
      <c r="CJ721" s="187">
        <f>205+470</f>
        <v>675</v>
      </c>
    </row>
    <row r="722" spans="1:118" x14ac:dyDescent="0.3">
      <c r="A722" s="150" t="s">
        <v>247</v>
      </c>
      <c r="B722" s="10">
        <v>936</v>
      </c>
      <c r="C722" s="7" t="s">
        <v>121</v>
      </c>
      <c r="D722" s="7" t="s">
        <v>128</v>
      </c>
      <c r="E722" s="10" t="s">
        <v>49</v>
      </c>
      <c r="F722" s="17" t="s">
        <v>50</v>
      </c>
      <c r="G722" s="64">
        <f>G723+G778+G853</f>
        <v>180268.008</v>
      </c>
      <c r="H722" s="111"/>
      <c r="I722" s="112"/>
      <c r="J722" s="111"/>
      <c r="K722" s="76"/>
      <c r="L722" s="75"/>
      <c r="M722" s="75"/>
      <c r="AG722" s="75"/>
      <c r="AH722" s="75"/>
    </row>
    <row r="723" spans="1:118" ht="39.75" customHeight="1" x14ac:dyDescent="0.3">
      <c r="A723" s="151" t="s">
        <v>161</v>
      </c>
      <c r="B723" s="11">
        <v>936</v>
      </c>
      <c r="C723" s="12" t="s">
        <v>121</v>
      </c>
      <c r="D723" s="12" t="s">
        <v>128</v>
      </c>
      <c r="E723" s="13" t="s">
        <v>99</v>
      </c>
      <c r="F723" s="12" t="s">
        <v>50</v>
      </c>
      <c r="G723" s="53">
        <f>G724+G772+G763+G788+G751</f>
        <v>180268.008</v>
      </c>
      <c r="H723" s="111"/>
      <c r="I723" s="112"/>
      <c r="J723" s="111"/>
      <c r="K723" s="76"/>
      <c r="L723" s="75"/>
      <c r="M723" s="75"/>
      <c r="AG723" s="75"/>
      <c r="AH723" s="75"/>
    </row>
    <row r="724" spans="1:118" ht="42" customHeight="1" x14ac:dyDescent="0.3">
      <c r="A724" s="151" t="s">
        <v>8</v>
      </c>
      <c r="B724" s="11">
        <v>936</v>
      </c>
      <c r="C724" s="12" t="s">
        <v>121</v>
      </c>
      <c r="D724" s="12" t="s">
        <v>128</v>
      </c>
      <c r="E724" s="13" t="s">
        <v>100</v>
      </c>
      <c r="F724" s="12" t="s">
        <v>50</v>
      </c>
      <c r="G724" s="53">
        <f>G725+G734+G753+G737+G756+G745+G747+G749+G739+G741</f>
        <v>157406</v>
      </c>
      <c r="H724" s="111"/>
      <c r="I724" s="112"/>
      <c r="J724" s="111"/>
      <c r="K724" s="76"/>
      <c r="L724" s="75"/>
      <c r="M724" s="75"/>
      <c r="AG724" s="75"/>
      <c r="AH724" s="75"/>
    </row>
    <row r="725" spans="1:118" x14ac:dyDescent="0.3">
      <c r="A725" s="138" t="s">
        <v>248</v>
      </c>
      <c r="B725" s="11">
        <v>936</v>
      </c>
      <c r="C725" s="12" t="s">
        <v>121</v>
      </c>
      <c r="D725" s="12" t="s">
        <v>128</v>
      </c>
      <c r="E725" s="12" t="s">
        <v>959</v>
      </c>
      <c r="F725" s="12" t="s">
        <v>50</v>
      </c>
      <c r="G725" s="53">
        <f>G726+G728+G730+G732</f>
        <v>39329.9</v>
      </c>
      <c r="H725" s="111"/>
      <c r="I725" s="112"/>
      <c r="J725" s="111"/>
      <c r="K725" s="76"/>
      <c r="L725" s="75"/>
      <c r="M725" s="75"/>
      <c r="AG725" s="75"/>
      <c r="AH725" s="75"/>
    </row>
    <row r="726" spans="1:118" ht="37.5" x14ac:dyDescent="0.3">
      <c r="A726" s="138" t="s">
        <v>963</v>
      </c>
      <c r="B726" s="11">
        <v>936</v>
      </c>
      <c r="C726" s="12" t="s">
        <v>121</v>
      </c>
      <c r="D726" s="12" t="s">
        <v>128</v>
      </c>
      <c r="E726" s="12" t="s">
        <v>960</v>
      </c>
      <c r="F726" s="12" t="s">
        <v>50</v>
      </c>
      <c r="G726" s="53">
        <f>G727</f>
        <v>37290.199999999997</v>
      </c>
      <c r="H726" s="111"/>
      <c r="I726" s="112"/>
      <c r="J726" s="111"/>
      <c r="K726" s="76"/>
      <c r="L726" s="75"/>
      <c r="M726" s="75"/>
      <c r="AG726" s="75"/>
      <c r="AH726" s="75"/>
    </row>
    <row r="727" spans="1:118" ht="37.5" x14ac:dyDescent="0.3">
      <c r="A727" s="138" t="s">
        <v>425</v>
      </c>
      <c r="B727" s="11">
        <v>936</v>
      </c>
      <c r="C727" s="12" t="s">
        <v>121</v>
      </c>
      <c r="D727" s="12" t="s">
        <v>128</v>
      </c>
      <c r="E727" s="12" t="s">
        <v>960</v>
      </c>
      <c r="F727" s="12" t="s">
        <v>59</v>
      </c>
      <c r="G727" s="68">
        <f>CR727+CU727-198.4+CV727+CY727+CZ727+DH727+DN727</f>
        <v>37290.199999999997</v>
      </c>
      <c r="H727" s="111">
        <f>10000+500</f>
        <v>10500</v>
      </c>
      <c r="I727" s="112"/>
      <c r="J727" s="111"/>
      <c r="K727" s="76"/>
      <c r="L727" s="75"/>
      <c r="M727" s="75">
        <v>141</v>
      </c>
      <c r="T727">
        <f>70+150+10200</f>
        <v>10420</v>
      </c>
      <c r="U727">
        <v>32.700000000000003</v>
      </c>
      <c r="AC727">
        <v>700</v>
      </c>
      <c r="AG727" s="75"/>
      <c r="AH727" s="75"/>
      <c r="AK727" s="75">
        <v>14920</v>
      </c>
      <c r="AS727" s="187">
        <f>17700+200</f>
        <v>17900</v>
      </c>
      <c r="AX727" s="96">
        <v>500</v>
      </c>
      <c r="BH727" s="225">
        <v>159.1</v>
      </c>
      <c r="BJ727" s="187">
        <v>5</v>
      </c>
      <c r="BN727" s="229">
        <f>5800+250+1860</f>
        <v>7910</v>
      </c>
      <c r="BU727" s="146">
        <f>110</f>
        <v>110</v>
      </c>
      <c r="CD727" s="218">
        <v>643.20000000000005</v>
      </c>
      <c r="CF727" s="187">
        <v>300</v>
      </c>
      <c r="CH727" s="250">
        <v>550</v>
      </c>
      <c r="CJ727" s="187">
        <v>425</v>
      </c>
      <c r="CR727" s="94">
        <f>17000+599</f>
        <v>17599</v>
      </c>
      <c r="CU727" s="250">
        <v>1784</v>
      </c>
      <c r="CV727" s="259">
        <f>1500+2614</f>
        <v>4114</v>
      </c>
      <c r="CY727" s="187">
        <v>246.6</v>
      </c>
      <c r="CZ727" s="187">
        <v>11000</v>
      </c>
      <c r="DH727" s="187">
        <v>2740</v>
      </c>
      <c r="DN727" s="260">
        <v>5</v>
      </c>
    </row>
    <row r="728" spans="1:118" ht="37.5" x14ac:dyDescent="0.3">
      <c r="A728" s="138" t="s">
        <v>64</v>
      </c>
      <c r="B728" s="11">
        <v>936</v>
      </c>
      <c r="C728" s="12" t="s">
        <v>121</v>
      </c>
      <c r="D728" s="12" t="s">
        <v>128</v>
      </c>
      <c r="E728" s="12" t="s">
        <v>785</v>
      </c>
      <c r="F728" s="12" t="s">
        <v>50</v>
      </c>
      <c r="G728" s="68">
        <f>G729</f>
        <v>110.3</v>
      </c>
      <c r="H728" s="111"/>
      <c r="I728" s="112"/>
      <c r="J728" s="111"/>
      <c r="K728" s="76"/>
      <c r="L728" s="75"/>
      <c r="M728" s="75"/>
      <c r="AG728" s="75"/>
      <c r="AH728" s="75"/>
    </row>
    <row r="729" spans="1:118" ht="37.5" x14ac:dyDescent="0.3">
      <c r="A729" s="138" t="s">
        <v>425</v>
      </c>
      <c r="B729" s="11">
        <v>936</v>
      </c>
      <c r="C729" s="12" t="s">
        <v>121</v>
      </c>
      <c r="D729" s="12" t="s">
        <v>128</v>
      </c>
      <c r="E729" s="12" t="s">
        <v>785</v>
      </c>
      <c r="F729" s="12" t="s">
        <v>59</v>
      </c>
      <c r="G729" s="68">
        <f>CV729+CY729</f>
        <v>110.3</v>
      </c>
      <c r="H729" s="111"/>
      <c r="I729" s="112"/>
      <c r="J729" s="111"/>
      <c r="K729" s="76"/>
      <c r="L729" s="75"/>
      <c r="M729" s="75"/>
      <c r="AG729" s="75"/>
      <c r="AH729" s="75"/>
      <c r="BD729" s="218">
        <v>79</v>
      </c>
      <c r="CV729" s="259">
        <v>21.8</v>
      </c>
      <c r="CY729" s="187">
        <v>88.5</v>
      </c>
    </row>
    <row r="730" spans="1:118" ht="37.5" x14ac:dyDescent="0.3">
      <c r="A730" s="138" t="s">
        <v>964</v>
      </c>
      <c r="B730" s="11">
        <v>936</v>
      </c>
      <c r="C730" s="12" t="s">
        <v>121</v>
      </c>
      <c r="D730" s="12" t="s">
        <v>128</v>
      </c>
      <c r="E730" s="12" t="s">
        <v>962</v>
      </c>
      <c r="F730" s="12" t="s">
        <v>50</v>
      </c>
      <c r="G730" s="68">
        <f>G731</f>
        <v>1173.4000000000001</v>
      </c>
      <c r="H730" s="111"/>
      <c r="I730" s="112"/>
      <c r="J730" s="111"/>
      <c r="K730" s="76"/>
      <c r="L730" s="75"/>
      <c r="M730" s="75"/>
      <c r="AG730" s="75"/>
      <c r="AH730" s="75"/>
    </row>
    <row r="731" spans="1:118" ht="37.5" x14ac:dyDescent="0.3">
      <c r="A731" s="138" t="s">
        <v>425</v>
      </c>
      <c r="B731" s="11">
        <v>936</v>
      </c>
      <c r="C731" s="12" t="s">
        <v>121</v>
      </c>
      <c r="D731" s="12" t="s">
        <v>128</v>
      </c>
      <c r="E731" s="12" t="s">
        <v>962</v>
      </c>
      <c r="F731" s="12" t="s">
        <v>59</v>
      </c>
      <c r="G731" s="68">
        <f>CR731+198.4+CZ731</f>
        <v>1173.4000000000001</v>
      </c>
      <c r="H731" s="111"/>
      <c r="I731" s="112"/>
      <c r="J731" s="111"/>
      <c r="K731" s="76"/>
      <c r="L731" s="75"/>
      <c r="M731" s="75"/>
      <c r="AG731" s="75"/>
      <c r="AH731" s="75"/>
      <c r="CR731" s="94">
        <v>275</v>
      </c>
      <c r="CZ731" s="187">
        <f>200+500</f>
        <v>700</v>
      </c>
    </row>
    <row r="732" spans="1:118" ht="37.5" x14ac:dyDescent="0.3">
      <c r="A732" s="138" t="s">
        <v>965</v>
      </c>
      <c r="B732" s="11">
        <v>936</v>
      </c>
      <c r="C732" s="12" t="s">
        <v>121</v>
      </c>
      <c r="D732" s="12" t="s">
        <v>128</v>
      </c>
      <c r="E732" s="12" t="s">
        <v>961</v>
      </c>
      <c r="F732" s="12" t="s">
        <v>50</v>
      </c>
      <c r="G732" s="68">
        <f>G733</f>
        <v>756</v>
      </c>
      <c r="H732" s="111"/>
      <c r="I732" s="112"/>
      <c r="J732" s="111"/>
      <c r="K732" s="76"/>
      <c r="L732" s="75"/>
      <c r="M732" s="75"/>
      <c r="AG732" s="75"/>
      <c r="AH732" s="75"/>
    </row>
    <row r="733" spans="1:118" ht="37.5" x14ac:dyDescent="0.3">
      <c r="A733" s="138" t="s">
        <v>425</v>
      </c>
      <c r="B733" s="11">
        <v>936</v>
      </c>
      <c r="C733" s="12" t="s">
        <v>121</v>
      </c>
      <c r="D733" s="12" t="s">
        <v>128</v>
      </c>
      <c r="E733" s="12" t="s">
        <v>961</v>
      </c>
      <c r="F733" s="12" t="s">
        <v>59</v>
      </c>
      <c r="G733" s="68">
        <f>CR733+CV733+DF733+DN733</f>
        <v>756</v>
      </c>
      <c r="H733" s="111"/>
      <c r="I733" s="112"/>
      <c r="J733" s="111"/>
      <c r="K733" s="76"/>
      <c r="L733" s="75"/>
      <c r="M733" s="75"/>
      <c r="AG733" s="75"/>
      <c r="AH733" s="75"/>
      <c r="CR733" s="94">
        <f>100+1500+100</f>
        <v>1700</v>
      </c>
      <c r="CV733" s="259">
        <v>-1500</v>
      </c>
      <c r="DF733" s="187">
        <v>561</v>
      </c>
      <c r="DN733" s="260">
        <v>-5</v>
      </c>
    </row>
    <row r="734" spans="1:118" ht="75" x14ac:dyDescent="0.3">
      <c r="A734" s="138" t="s">
        <v>249</v>
      </c>
      <c r="B734" s="139">
        <v>936</v>
      </c>
      <c r="C734" s="106" t="s">
        <v>121</v>
      </c>
      <c r="D734" s="106" t="s">
        <v>128</v>
      </c>
      <c r="E734" s="106" t="s">
        <v>868</v>
      </c>
      <c r="F734" s="12" t="s">
        <v>50</v>
      </c>
      <c r="G734" s="53">
        <f>G735</f>
        <v>2289</v>
      </c>
      <c r="H734" s="111"/>
      <c r="I734" s="112"/>
      <c r="J734" s="111"/>
      <c r="K734" s="76"/>
      <c r="L734" s="75"/>
      <c r="M734" s="75"/>
      <c r="AG734" s="75"/>
      <c r="AH734" s="75"/>
    </row>
    <row r="735" spans="1:118" ht="56.25" x14ac:dyDescent="0.3">
      <c r="A735" s="138" t="s">
        <v>250</v>
      </c>
      <c r="B735" s="139">
        <v>936</v>
      </c>
      <c r="C735" s="106" t="s">
        <v>121</v>
      </c>
      <c r="D735" s="106" t="s">
        <v>128</v>
      </c>
      <c r="E735" s="257" t="s">
        <v>1136</v>
      </c>
      <c r="F735" s="12" t="s">
        <v>50</v>
      </c>
      <c r="G735" s="53">
        <f>G736</f>
        <v>2289</v>
      </c>
      <c r="H735" s="111"/>
      <c r="I735" s="112"/>
      <c r="J735" s="111"/>
      <c r="K735" s="76"/>
      <c r="L735" s="75"/>
      <c r="M735" s="75"/>
      <c r="AG735" s="75"/>
      <c r="AH735" s="75"/>
    </row>
    <row r="736" spans="1:118" ht="37.5" x14ac:dyDescent="0.3">
      <c r="A736" s="138" t="s">
        <v>425</v>
      </c>
      <c r="B736" s="139">
        <v>936</v>
      </c>
      <c r="C736" s="106" t="s">
        <v>121</v>
      </c>
      <c r="D736" s="106" t="s">
        <v>128</v>
      </c>
      <c r="E736" s="257" t="s">
        <v>1136</v>
      </c>
      <c r="F736" s="12" t="s">
        <v>59</v>
      </c>
      <c r="G736" s="53">
        <f>CQ736+CT736</f>
        <v>2289</v>
      </c>
      <c r="H736" s="111"/>
      <c r="I736" s="112">
        <v>2521</v>
      </c>
      <c r="J736" s="111"/>
      <c r="K736" s="76"/>
      <c r="L736" s="75"/>
      <c r="M736" s="75"/>
      <c r="O736">
        <v>31.9</v>
      </c>
      <c r="AG736" s="75">
        <v>-1.6</v>
      </c>
      <c r="AH736" s="75"/>
      <c r="AK736" s="75">
        <v>1998</v>
      </c>
      <c r="AP736" s="146">
        <v>116.6</v>
      </c>
      <c r="BO736" s="230">
        <v>29804</v>
      </c>
      <c r="CQ736" s="94">
        <v>2323</v>
      </c>
      <c r="CT736" s="250">
        <v>-34</v>
      </c>
    </row>
    <row r="737" spans="1:95" ht="56.25" x14ac:dyDescent="0.3">
      <c r="A737" s="138" t="s">
        <v>250</v>
      </c>
      <c r="B737" s="139">
        <v>936</v>
      </c>
      <c r="C737" s="106" t="s">
        <v>121</v>
      </c>
      <c r="D737" s="106" t="s">
        <v>128</v>
      </c>
      <c r="E737" s="257" t="s">
        <v>1137</v>
      </c>
      <c r="F737" s="12" t="s">
        <v>50</v>
      </c>
      <c r="G737" s="53">
        <f>G738</f>
        <v>24</v>
      </c>
      <c r="H737" s="111"/>
      <c r="I737" s="112"/>
      <c r="J737" s="111"/>
      <c r="K737" s="76"/>
      <c r="L737" s="75"/>
      <c r="M737" s="75"/>
      <c r="AG737" s="75"/>
      <c r="AH737" s="75"/>
    </row>
    <row r="738" spans="1:95" ht="37.5" x14ac:dyDescent="0.3">
      <c r="A738" s="138" t="s">
        <v>425</v>
      </c>
      <c r="B738" s="139">
        <v>936</v>
      </c>
      <c r="C738" s="106" t="s">
        <v>121</v>
      </c>
      <c r="D738" s="106" t="s">
        <v>128</v>
      </c>
      <c r="E738" s="257" t="s">
        <v>1137</v>
      </c>
      <c r="F738" s="12" t="s">
        <v>59</v>
      </c>
      <c r="G738" s="68">
        <f>CQ738</f>
        <v>24</v>
      </c>
      <c r="H738" s="111"/>
      <c r="I738" s="112"/>
      <c r="J738" s="111">
        <v>133</v>
      </c>
      <c r="K738" s="76"/>
      <c r="L738" s="75"/>
      <c r="M738" s="75"/>
      <c r="AG738" s="75"/>
      <c r="AH738" s="75"/>
      <c r="AK738" s="75">
        <v>105</v>
      </c>
      <c r="AQ738" s="146">
        <v>7</v>
      </c>
      <c r="BP738" s="231">
        <v>301.10000000000002</v>
      </c>
      <c r="BU738" s="146">
        <v>113</v>
      </c>
      <c r="CQ738" s="94">
        <v>24</v>
      </c>
    </row>
    <row r="739" spans="1:95" ht="56.25" x14ac:dyDescent="0.3">
      <c r="A739" s="224" t="s">
        <v>978</v>
      </c>
      <c r="B739" s="139">
        <v>936</v>
      </c>
      <c r="C739" s="106" t="s">
        <v>121</v>
      </c>
      <c r="D739" s="106" t="s">
        <v>128</v>
      </c>
      <c r="E739" s="257" t="s">
        <v>976</v>
      </c>
      <c r="F739" s="12" t="s">
        <v>50</v>
      </c>
      <c r="G739" s="68">
        <f>G740</f>
        <v>40000</v>
      </c>
      <c r="H739" s="111"/>
      <c r="I739" s="112"/>
      <c r="J739" s="111"/>
      <c r="K739" s="76"/>
      <c r="L739" s="75"/>
      <c r="M739" s="75"/>
      <c r="AG739" s="75"/>
      <c r="AH739" s="75"/>
    </row>
    <row r="740" spans="1:95" ht="37.5" x14ac:dyDescent="0.3">
      <c r="A740" s="138" t="s">
        <v>425</v>
      </c>
      <c r="B740" s="139">
        <v>936</v>
      </c>
      <c r="C740" s="106" t="s">
        <v>121</v>
      </c>
      <c r="D740" s="106" t="s">
        <v>128</v>
      </c>
      <c r="E740" s="257" t="s">
        <v>976</v>
      </c>
      <c r="F740" s="12" t="s">
        <v>59</v>
      </c>
      <c r="G740" s="68">
        <v>40000</v>
      </c>
      <c r="H740" s="111"/>
      <c r="I740" s="112"/>
      <c r="J740" s="111"/>
      <c r="K740" s="76"/>
      <c r="L740" s="75"/>
      <c r="M740" s="75"/>
      <c r="AG740" s="75"/>
      <c r="AH740" s="75"/>
    </row>
    <row r="741" spans="1:95" ht="56.25" x14ac:dyDescent="0.3">
      <c r="A741" s="224" t="s">
        <v>978</v>
      </c>
      <c r="B741" s="139">
        <v>936</v>
      </c>
      <c r="C741" s="106" t="s">
        <v>121</v>
      </c>
      <c r="D741" s="106" t="s">
        <v>128</v>
      </c>
      <c r="E741" s="257" t="s">
        <v>977</v>
      </c>
      <c r="F741" s="12" t="s">
        <v>50</v>
      </c>
      <c r="G741" s="68">
        <f>G742</f>
        <v>40.1</v>
      </c>
      <c r="H741" s="111"/>
      <c r="I741" s="112"/>
      <c r="J741" s="111"/>
      <c r="K741" s="76"/>
      <c r="L741" s="75"/>
      <c r="M741" s="75"/>
      <c r="AG741" s="75"/>
      <c r="AH741" s="75"/>
    </row>
    <row r="742" spans="1:95" ht="37.5" x14ac:dyDescent="0.3">
      <c r="A742" s="138" t="s">
        <v>425</v>
      </c>
      <c r="B742" s="139">
        <v>936</v>
      </c>
      <c r="C742" s="106" t="s">
        <v>121</v>
      </c>
      <c r="D742" s="106" t="s">
        <v>128</v>
      </c>
      <c r="E742" s="257" t="s">
        <v>977</v>
      </c>
      <c r="F742" s="12" t="s">
        <v>59</v>
      </c>
      <c r="G742" s="68">
        <v>40.1</v>
      </c>
      <c r="H742" s="111"/>
      <c r="I742" s="112"/>
      <c r="J742" s="111"/>
      <c r="K742" s="76"/>
      <c r="L742" s="75"/>
      <c r="M742" s="75"/>
      <c r="AG742" s="75"/>
      <c r="AH742" s="75"/>
    </row>
    <row r="743" spans="1:95" ht="37.5" x14ac:dyDescent="0.3">
      <c r="A743" s="160" t="s">
        <v>951</v>
      </c>
      <c r="B743" s="139">
        <v>936</v>
      </c>
      <c r="C743" s="106" t="s">
        <v>121</v>
      </c>
      <c r="D743" s="106" t="s">
        <v>128</v>
      </c>
      <c r="E743" s="257" t="s">
        <v>952</v>
      </c>
      <c r="F743" s="12" t="s">
        <v>50</v>
      </c>
      <c r="G743" s="68">
        <f>G744</f>
        <v>75723</v>
      </c>
      <c r="H743" s="111"/>
      <c r="I743" s="112"/>
      <c r="J743" s="111"/>
      <c r="K743" s="76"/>
      <c r="L743" s="75"/>
      <c r="M743" s="75"/>
      <c r="AG743" s="75"/>
      <c r="AH743" s="75"/>
    </row>
    <row r="744" spans="1:95" ht="37.5" x14ac:dyDescent="0.3">
      <c r="A744" s="160" t="s">
        <v>814</v>
      </c>
      <c r="B744" s="139">
        <v>936</v>
      </c>
      <c r="C744" s="106" t="s">
        <v>121</v>
      </c>
      <c r="D744" s="106" t="s">
        <v>128</v>
      </c>
      <c r="E744" s="257" t="s">
        <v>953</v>
      </c>
      <c r="F744" s="12" t="s">
        <v>50</v>
      </c>
      <c r="G744" s="68">
        <f>G745+G747</f>
        <v>75723</v>
      </c>
      <c r="H744" s="111"/>
      <c r="I744" s="112"/>
      <c r="J744" s="111"/>
      <c r="K744" s="76"/>
      <c r="L744" s="75"/>
      <c r="M744" s="75"/>
      <c r="AG744" s="75"/>
      <c r="AH744" s="75"/>
    </row>
    <row r="745" spans="1:95" ht="69.75" customHeight="1" x14ac:dyDescent="0.3">
      <c r="A745" s="160" t="s">
        <v>950</v>
      </c>
      <c r="B745" s="139">
        <v>936</v>
      </c>
      <c r="C745" s="106" t="s">
        <v>121</v>
      </c>
      <c r="D745" s="106" t="s">
        <v>128</v>
      </c>
      <c r="E745" s="257" t="s">
        <v>1163</v>
      </c>
      <c r="F745" s="12" t="s">
        <v>50</v>
      </c>
      <c r="G745" s="68">
        <f>G746</f>
        <v>74965</v>
      </c>
      <c r="H745" s="111"/>
      <c r="I745" s="112"/>
      <c r="J745" s="111"/>
      <c r="K745" s="76"/>
      <c r="L745" s="75"/>
      <c r="M745" s="75"/>
      <c r="AG745" s="75"/>
      <c r="AH745" s="75"/>
    </row>
    <row r="746" spans="1:95" ht="37.5" x14ac:dyDescent="0.3">
      <c r="A746" s="138" t="s">
        <v>425</v>
      </c>
      <c r="B746" s="11">
        <v>936</v>
      </c>
      <c r="C746" s="12" t="s">
        <v>121</v>
      </c>
      <c r="D746" s="12" t="s">
        <v>128</v>
      </c>
      <c r="E746" s="257" t="s">
        <v>1163</v>
      </c>
      <c r="F746" s="12" t="s">
        <v>59</v>
      </c>
      <c r="G746" s="68">
        <f>CQ746</f>
        <v>74965</v>
      </c>
      <c r="H746" s="111"/>
      <c r="I746" s="112">
        <v>92040</v>
      </c>
      <c r="J746" s="111"/>
      <c r="K746" s="76"/>
      <c r="L746" s="75"/>
      <c r="M746" s="75"/>
      <c r="AG746" s="75"/>
      <c r="AH746" s="75"/>
      <c r="BO746" s="230">
        <v>92040</v>
      </c>
      <c r="CQ746" s="94">
        <v>74965</v>
      </c>
    </row>
    <row r="747" spans="1:95" ht="75" x14ac:dyDescent="0.3">
      <c r="A747" s="160" t="s">
        <v>950</v>
      </c>
      <c r="B747" s="11">
        <v>936</v>
      </c>
      <c r="C747" s="12" t="s">
        <v>121</v>
      </c>
      <c r="D747" s="12" t="s">
        <v>128</v>
      </c>
      <c r="E747" s="108" t="s">
        <v>1164</v>
      </c>
      <c r="F747" s="12" t="s">
        <v>50</v>
      </c>
      <c r="G747" s="68">
        <f>G748</f>
        <v>758</v>
      </c>
      <c r="H747" s="111"/>
      <c r="I747" s="112"/>
      <c r="J747" s="111"/>
      <c r="K747" s="76"/>
      <c r="L747" s="75"/>
      <c r="M747" s="75"/>
      <c r="AG747" s="75"/>
      <c r="AH747" s="75"/>
    </row>
    <row r="748" spans="1:95" ht="37.5" x14ac:dyDescent="0.3">
      <c r="A748" s="138" t="s">
        <v>425</v>
      </c>
      <c r="B748" s="11">
        <v>936</v>
      </c>
      <c r="C748" s="12" t="s">
        <v>121</v>
      </c>
      <c r="D748" s="12" t="s">
        <v>128</v>
      </c>
      <c r="E748" s="108" t="s">
        <v>1164</v>
      </c>
      <c r="F748" s="12" t="s">
        <v>59</v>
      </c>
      <c r="G748" s="68">
        <f>CQ748</f>
        <v>758</v>
      </c>
      <c r="H748" s="111"/>
      <c r="I748" s="112"/>
      <c r="J748" s="111">
        <v>929.7</v>
      </c>
      <c r="K748" s="76"/>
      <c r="L748" s="75"/>
      <c r="M748" s="75"/>
      <c r="AG748" s="75"/>
      <c r="AH748" s="75"/>
      <c r="BP748" s="231">
        <v>929.7</v>
      </c>
      <c r="CQ748" s="94">
        <v>758</v>
      </c>
    </row>
    <row r="749" spans="1:95" ht="56.25" hidden="1" x14ac:dyDescent="0.3">
      <c r="A749" s="138" t="s">
        <v>686</v>
      </c>
      <c r="B749" s="11">
        <v>936</v>
      </c>
      <c r="C749" s="12" t="s">
        <v>121</v>
      </c>
      <c r="D749" s="12" t="s">
        <v>128</v>
      </c>
      <c r="E749" s="12" t="s">
        <v>915</v>
      </c>
      <c r="F749" s="12" t="s">
        <v>50</v>
      </c>
      <c r="G749" s="68">
        <f>G750</f>
        <v>0</v>
      </c>
      <c r="H749" s="111"/>
      <c r="I749" s="112">
        <v>50000</v>
      </c>
      <c r="J749" s="111"/>
      <c r="K749" s="76"/>
      <c r="L749" s="75"/>
      <c r="M749" s="75"/>
      <c r="AG749" s="75"/>
      <c r="AH749" s="75"/>
    </row>
    <row r="750" spans="1:95" ht="37.5" hidden="1" x14ac:dyDescent="0.3">
      <c r="A750" s="138" t="s">
        <v>425</v>
      </c>
      <c r="B750" s="11">
        <v>936</v>
      </c>
      <c r="C750" s="12" t="s">
        <v>121</v>
      </c>
      <c r="D750" s="12" t="s">
        <v>128</v>
      </c>
      <c r="E750" s="12" t="s">
        <v>915</v>
      </c>
      <c r="F750" s="12" t="s">
        <v>59</v>
      </c>
      <c r="G750" s="68">
        <f>CC750-40000</f>
        <v>0</v>
      </c>
      <c r="H750" s="111"/>
      <c r="I750" s="112"/>
      <c r="J750" s="111"/>
      <c r="K750" s="76"/>
      <c r="L750" s="75"/>
      <c r="M750" s="75"/>
      <c r="AG750" s="75"/>
      <c r="AH750" s="75"/>
      <c r="BK750" s="218">
        <v>38907</v>
      </c>
      <c r="CC750" s="237">
        <v>40000</v>
      </c>
    </row>
    <row r="751" spans="1:95" ht="56.25" hidden="1" x14ac:dyDescent="0.3">
      <c r="A751" s="138" t="s">
        <v>686</v>
      </c>
      <c r="B751" s="11">
        <v>936</v>
      </c>
      <c r="C751" s="12" t="s">
        <v>121</v>
      </c>
      <c r="D751" s="12" t="s">
        <v>128</v>
      </c>
      <c r="E751" s="12" t="s">
        <v>914</v>
      </c>
      <c r="F751" s="12" t="s">
        <v>50</v>
      </c>
      <c r="G751" s="68">
        <f>G752</f>
        <v>0</v>
      </c>
      <c r="H751" s="111"/>
      <c r="I751" s="112"/>
      <c r="J751" s="111">
        <v>50.1</v>
      </c>
      <c r="K751" s="76"/>
      <c r="L751" s="75"/>
      <c r="M751" s="75"/>
      <c r="AG751" s="75"/>
      <c r="AH751" s="75"/>
    </row>
    <row r="752" spans="1:95" ht="37.5" hidden="1" x14ac:dyDescent="0.3">
      <c r="A752" s="138" t="s">
        <v>425</v>
      </c>
      <c r="B752" s="11">
        <v>936</v>
      </c>
      <c r="C752" s="12" t="s">
        <v>121</v>
      </c>
      <c r="D752" s="12" t="s">
        <v>128</v>
      </c>
      <c r="E752" s="12" t="s">
        <v>914</v>
      </c>
      <c r="F752" s="12" t="s">
        <v>59</v>
      </c>
      <c r="G752" s="68">
        <f>CC752-40</f>
        <v>0</v>
      </c>
      <c r="H752" s="111"/>
      <c r="I752" s="112"/>
      <c r="J752" s="111"/>
      <c r="K752" s="76"/>
      <c r="L752" s="75"/>
      <c r="M752" s="75"/>
      <c r="AG752" s="75"/>
      <c r="AH752" s="75"/>
      <c r="BK752" s="218">
        <v>39.119999999999997</v>
      </c>
      <c r="CC752" s="237">
        <v>40</v>
      </c>
    </row>
    <row r="753" spans="1:37" ht="37.5" hidden="1" x14ac:dyDescent="0.3">
      <c r="A753" s="138" t="s">
        <v>68</v>
      </c>
      <c r="B753" s="66">
        <v>936</v>
      </c>
      <c r="C753" s="12" t="s">
        <v>121</v>
      </c>
      <c r="D753" s="12" t="s">
        <v>128</v>
      </c>
      <c r="E753" s="12" t="s">
        <v>370</v>
      </c>
      <c r="F753" s="12" t="s">
        <v>50</v>
      </c>
      <c r="G753" s="53">
        <f>G754</f>
        <v>0</v>
      </c>
      <c r="H753" s="111"/>
      <c r="I753" s="112"/>
      <c r="J753" s="111"/>
      <c r="K753" s="76"/>
      <c r="L753" s="75"/>
      <c r="M753" s="75"/>
      <c r="AG753" s="75"/>
      <c r="AH753" s="75"/>
    </row>
    <row r="754" spans="1:37" ht="75" hidden="1" x14ac:dyDescent="0.3">
      <c r="A754" s="138" t="s">
        <v>369</v>
      </c>
      <c r="B754" s="66">
        <v>936</v>
      </c>
      <c r="C754" s="12" t="s">
        <v>121</v>
      </c>
      <c r="D754" s="12" t="s">
        <v>128</v>
      </c>
      <c r="E754" s="12" t="s">
        <v>371</v>
      </c>
      <c r="F754" s="12" t="s">
        <v>50</v>
      </c>
      <c r="G754" s="53">
        <f>G755</f>
        <v>0</v>
      </c>
      <c r="H754" s="111"/>
      <c r="I754" s="112"/>
      <c r="J754" s="111"/>
      <c r="K754" s="76"/>
      <c r="L754" s="75"/>
      <c r="M754" s="75"/>
      <c r="AG754" s="75"/>
      <c r="AH754" s="75"/>
    </row>
    <row r="755" spans="1:37" ht="37.5" hidden="1" x14ac:dyDescent="0.3">
      <c r="A755" s="138" t="s">
        <v>425</v>
      </c>
      <c r="B755" s="66">
        <v>936</v>
      </c>
      <c r="C755" s="12" t="s">
        <v>121</v>
      </c>
      <c r="D755" s="12" t="s">
        <v>128</v>
      </c>
      <c r="E755" s="12" t="s">
        <v>371</v>
      </c>
      <c r="F755" s="12" t="s">
        <v>59</v>
      </c>
      <c r="G755" s="53">
        <v>0</v>
      </c>
      <c r="H755" s="111"/>
      <c r="I755" s="112"/>
      <c r="J755" s="111"/>
      <c r="K755" s="76"/>
      <c r="L755" s="75"/>
      <c r="M755" s="75"/>
      <c r="AG755" s="75"/>
      <c r="AH755" s="75"/>
      <c r="AK755" s="75">
        <v>2120.4</v>
      </c>
    </row>
    <row r="756" spans="1:37" ht="44.25" hidden="1" customHeight="1" x14ac:dyDescent="0.3">
      <c r="A756" s="138" t="s">
        <v>462</v>
      </c>
      <c r="B756" s="66">
        <v>936</v>
      </c>
      <c r="C756" s="12" t="s">
        <v>121</v>
      </c>
      <c r="D756" s="12" t="s">
        <v>128</v>
      </c>
      <c r="E756" s="12" t="s">
        <v>463</v>
      </c>
      <c r="F756" s="12" t="s">
        <v>50</v>
      </c>
      <c r="G756" s="53">
        <f>G757+G760</f>
        <v>0</v>
      </c>
      <c r="H756" s="111"/>
      <c r="I756" s="112"/>
      <c r="J756" s="111"/>
      <c r="K756" s="76"/>
      <c r="L756" s="75"/>
      <c r="M756" s="75"/>
      <c r="AG756" s="75"/>
      <c r="AH756" s="75"/>
    </row>
    <row r="757" spans="1:37" hidden="1" x14ac:dyDescent="0.3">
      <c r="A757" s="176" t="s">
        <v>459</v>
      </c>
      <c r="B757" s="66">
        <v>936</v>
      </c>
      <c r="C757" s="12" t="s">
        <v>121</v>
      </c>
      <c r="D757" s="12" t="s">
        <v>128</v>
      </c>
      <c r="E757" s="12" t="s">
        <v>367</v>
      </c>
      <c r="F757" s="12" t="s">
        <v>50</v>
      </c>
      <c r="G757" s="53">
        <f>G758+G786</f>
        <v>0</v>
      </c>
      <c r="H757" s="111"/>
      <c r="I757" s="112"/>
      <c r="J757" s="111"/>
      <c r="K757" s="76"/>
      <c r="L757" s="75"/>
      <c r="M757" s="75"/>
      <c r="AG757" s="75"/>
      <c r="AH757" s="75"/>
    </row>
    <row r="758" spans="1:37" ht="37.5" hidden="1" x14ac:dyDescent="0.3">
      <c r="A758" s="176" t="s">
        <v>460</v>
      </c>
      <c r="B758" s="66">
        <v>936</v>
      </c>
      <c r="C758" s="12" t="s">
        <v>121</v>
      </c>
      <c r="D758" s="12" t="s">
        <v>128</v>
      </c>
      <c r="E758" s="12" t="s">
        <v>368</v>
      </c>
      <c r="F758" s="12" t="s">
        <v>50</v>
      </c>
      <c r="G758" s="53">
        <f>G759</f>
        <v>0</v>
      </c>
      <c r="H758" s="111"/>
      <c r="I758" s="112"/>
      <c r="J758" s="111"/>
      <c r="K758" s="76"/>
      <c r="L758" s="75"/>
      <c r="M758" s="75"/>
      <c r="AG758" s="75"/>
      <c r="AH758" s="75"/>
    </row>
    <row r="759" spans="1:37" ht="37.5" hidden="1" x14ac:dyDescent="0.3">
      <c r="A759" s="138" t="s">
        <v>425</v>
      </c>
      <c r="B759" s="66">
        <v>936</v>
      </c>
      <c r="C759" s="12" t="s">
        <v>121</v>
      </c>
      <c r="D759" s="12" t="s">
        <v>128</v>
      </c>
      <c r="E759" s="12" t="s">
        <v>368</v>
      </c>
      <c r="F759" s="12" t="s">
        <v>59</v>
      </c>
      <c r="G759" s="53">
        <v>0</v>
      </c>
      <c r="H759" s="111"/>
      <c r="I759" s="112"/>
      <c r="J759" s="111"/>
      <c r="K759" s="76"/>
      <c r="L759" s="75"/>
      <c r="M759" s="75"/>
      <c r="AG759" s="75"/>
      <c r="AH759" s="75"/>
      <c r="AK759" s="75">
        <v>92040</v>
      </c>
    </row>
    <row r="760" spans="1:37" ht="37.5" hidden="1" x14ac:dyDescent="0.3">
      <c r="A760" s="138" t="s">
        <v>461</v>
      </c>
      <c r="B760" s="66">
        <v>936</v>
      </c>
      <c r="C760" s="12" t="s">
        <v>121</v>
      </c>
      <c r="D760" s="12" t="s">
        <v>128</v>
      </c>
      <c r="E760" s="12" t="s">
        <v>464</v>
      </c>
      <c r="F760" s="12" t="s">
        <v>50</v>
      </c>
      <c r="G760" s="53">
        <f>G761</f>
        <v>0</v>
      </c>
      <c r="H760" s="111"/>
      <c r="I760" s="112"/>
      <c r="J760" s="111"/>
      <c r="K760" s="76"/>
      <c r="L760" s="75"/>
      <c r="M760" s="75"/>
      <c r="AG760" s="75"/>
      <c r="AH760" s="75"/>
    </row>
    <row r="761" spans="1:37" ht="75" hidden="1" x14ac:dyDescent="0.3">
      <c r="A761" s="138" t="s">
        <v>369</v>
      </c>
      <c r="B761" s="66">
        <v>936</v>
      </c>
      <c r="C761" s="12" t="s">
        <v>121</v>
      </c>
      <c r="D761" s="12" t="s">
        <v>128</v>
      </c>
      <c r="E761" s="12" t="s">
        <v>465</v>
      </c>
      <c r="F761" s="12" t="s">
        <v>50</v>
      </c>
      <c r="G761" s="53">
        <f>G762</f>
        <v>0</v>
      </c>
      <c r="H761" s="111"/>
      <c r="I761" s="112"/>
      <c r="J761" s="111"/>
      <c r="K761" s="76"/>
      <c r="L761" s="75"/>
      <c r="M761" s="75"/>
      <c r="AG761" s="75"/>
      <c r="AH761" s="75"/>
    </row>
    <row r="762" spans="1:37" ht="37.5" hidden="1" x14ac:dyDescent="0.3">
      <c r="A762" s="138" t="s">
        <v>58</v>
      </c>
      <c r="B762" s="66">
        <v>936</v>
      </c>
      <c r="C762" s="12" t="s">
        <v>121</v>
      </c>
      <c r="D762" s="12" t="s">
        <v>128</v>
      </c>
      <c r="E762" s="12" t="s">
        <v>465</v>
      </c>
      <c r="F762" s="12" t="s">
        <v>59</v>
      </c>
      <c r="G762" s="53">
        <v>0</v>
      </c>
      <c r="H762" s="111"/>
      <c r="I762" s="112"/>
      <c r="J762" s="111"/>
      <c r="K762" s="76"/>
      <c r="L762" s="75"/>
      <c r="M762" s="75"/>
      <c r="AG762" s="75"/>
      <c r="AH762" s="75"/>
    </row>
    <row r="763" spans="1:37" ht="56.25" x14ac:dyDescent="0.3">
      <c r="A763" s="138" t="s">
        <v>458</v>
      </c>
      <c r="B763" s="11">
        <v>936</v>
      </c>
      <c r="C763" s="12" t="s">
        <v>121</v>
      </c>
      <c r="D763" s="12" t="s">
        <v>128</v>
      </c>
      <c r="E763" s="13" t="s">
        <v>29</v>
      </c>
      <c r="F763" s="12" t="s">
        <v>50</v>
      </c>
      <c r="G763" s="53">
        <f>G764+G767+G770+G789+G810+G812+G814+G832+G816+G818+G820+G822+G824+G826+G828+G830</f>
        <v>22862.008000000002</v>
      </c>
      <c r="H763" s="111"/>
      <c r="I763" s="112"/>
      <c r="J763" s="111"/>
      <c r="K763" s="76"/>
      <c r="L763" s="75"/>
      <c r="M763" s="75"/>
      <c r="AG763" s="75"/>
      <c r="AH763" s="75"/>
    </row>
    <row r="764" spans="1:37" ht="21" hidden="1" customHeight="1" x14ac:dyDescent="0.3">
      <c r="A764" s="138" t="s">
        <v>62</v>
      </c>
      <c r="B764" s="11">
        <v>936</v>
      </c>
      <c r="C764" s="12" t="s">
        <v>121</v>
      </c>
      <c r="D764" s="12" t="s">
        <v>128</v>
      </c>
      <c r="E764" s="12" t="s">
        <v>251</v>
      </c>
      <c r="F764" s="12" t="s">
        <v>50</v>
      </c>
      <c r="G764" s="53">
        <f>G765</f>
        <v>0</v>
      </c>
      <c r="H764" s="111"/>
      <c r="I764" s="112"/>
      <c r="J764" s="111"/>
      <c r="K764" s="76"/>
      <c r="L764" s="75"/>
      <c r="M764" s="75"/>
      <c r="AG764" s="75"/>
      <c r="AH764" s="75"/>
    </row>
    <row r="765" spans="1:37" ht="25.5" hidden="1" customHeight="1" x14ac:dyDescent="0.3">
      <c r="A765" s="138" t="s">
        <v>64</v>
      </c>
      <c r="B765" s="11">
        <v>936</v>
      </c>
      <c r="C765" s="12" t="s">
        <v>121</v>
      </c>
      <c r="D765" s="12" t="s">
        <v>128</v>
      </c>
      <c r="E765" s="12" t="s">
        <v>252</v>
      </c>
      <c r="F765" s="12" t="s">
        <v>50</v>
      </c>
      <c r="G765" s="53">
        <f>G766</f>
        <v>0</v>
      </c>
      <c r="H765" s="111"/>
      <c r="I765" s="112"/>
      <c r="J765" s="111"/>
      <c r="K765" s="76"/>
      <c r="L765" s="75"/>
      <c r="M765" s="75"/>
      <c r="AG765" s="75"/>
      <c r="AH765" s="75"/>
    </row>
    <row r="766" spans="1:37" ht="37.5" hidden="1" x14ac:dyDescent="0.3">
      <c r="A766" s="138" t="s">
        <v>58</v>
      </c>
      <c r="B766" s="11">
        <v>936</v>
      </c>
      <c r="C766" s="12" t="s">
        <v>121</v>
      </c>
      <c r="D766" s="12" t="s">
        <v>128</v>
      </c>
      <c r="E766" s="12" t="s">
        <v>252</v>
      </c>
      <c r="F766" s="12" t="s">
        <v>59</v>
      </c>
      <c r="G766" s="53">
        <f>BU766</f>
        <v>0</v>
      </c>
      <c r="H766" s="111"/>
      <c r="I766" s="112"/>
      <c r="J766" s="111"/>
      <c r="K766" s="76"/>
      <c r="L766" s="75"/>
      <c r="M766" s="75"/>
      <c r="AG766" s="75"/>
      <c r="AH766" s="75"/>
    </row>
    <row r="767" spans="1:37" ht="75" hidden="1" x14ac:dyDescent="0.3">
      <c r="A767" s="138" t="s">
        <v>249</v>
      </c>
      <c r="B767" s="11">
        <v>936</v>
      </c>
      <c r="C767" s="12" t="s">
        <v>121</v>
      </c>
      <c r="D767" s="12" t="s">
        <v>128</v>
      </c>
      <c r="E767" s="12" t="s">
        <v>254</v>
      </c>
      <c r="F767" s="12" t="s">
        <v>50</v>
      </c>
      <c r="G767" s="53">
        <f>G768</f>
        <v>0</v>
      </c>
      <c r="H767" s="111"/>
      <c r="I767" s="112"/>
      <c r="J767" s="111"/>
      <c r="K767" s="76"/>
      <c r="L767" s="75"/>
      <c r="M767" s="75"/>
      <c r="AG767" s="75"/>
      <c r="AH767" s="75"/>
    </row>
    <row r="768" spans="1:37" ht="56.25" hidden="1" x14ac:dyDescent="0.3">
      <c r="A768" s="138" t="s">
        <v>253</v>
      </c>
      <c r="B768" s="11">
        <v>936</v>
      </c>
      <c r="C768" s="12" t="s">
        <v>121</v>
      </c>
      <c r="D768" s="12" t="s">
        <v>128</v>
      </c>
      <c r="E768" s="12" t="s">
        <v>255</v>
      </c>
      <c r="F768" s="12" t="s">
        <v>50</v>
      </c>
      <c r="G768" s="53">
        <f>G769</f>
        <v>0</v>
      </c>
      <c r="H768" s="111"/>
      <c r="I768" s="112"/>
      <c r="J768" s="111"/>
      <c r="K768" s="76"/>
      <c r="L768" s="75"/>
      <c r="M768" s="75"/>
      <c r="AG768" s="75"/>
      <c r="AH768" s="75"/>
    </row>
    <row r="769" spans="1:34" ht="37.5" hidden="1" x14ac:dyDescent="0.3">
      <c r="A769" s="138" t="s">
        <v>425</v>
      </c>
      <c r="B769" s="11">
        <v>936</v>
      </c>
      <c r="C769" s="12" t="s">
        <v>121</v>
      </c>
      <c r="D769" s="12" t="s">
        <v>128</v>
      </c>
      <c r="E769" s="12" t="s">
        <v>255</v>
      </c>
      <c r="F769" s="12" t="s">
        <v>59</v>
      </c>
      <c r="G769" s="53">
        <f>BT769</f>
        <v>0</v>
      </c>
      <c r="H769" s="111"/>
      <c r="I769" s="112"/>
      <c r="J769" s="111"/>
      <c r="K769" s="76"/>
      <c r="L769" s="75"/>
      <c r="M769" s="75"/>
      <c r="AG769" s="75"/>
      <c r="AH769" s="75"/>
    </row>
    <row r="770" spans="1:34" ht="56.25" hidden="1" x14ac:dyDescent="0.3">
      <c r="A770" s="138" t="s">
        <v>253</v>
      </c>
      <c r="B770" s="11">
        <v>936</v>
      </c>
      <c r="C770" s="12" t="s">
        <v>121</v>
      </c>
      <c r="D770" s="12" t="s">
        <v>128</v>
      </c>
      <c r="E770" s="12" t="s">
        <v>256</v>
      </c>
      <c r="F770" s="12" t="s">
        <v>50</v>
      </c>
      <c r="G770" s="53">
        <f>G771</f>
        <v>0</v>
      </c>
      <c r="H770" s="111"/>
      <c r="I770" s="112"/>
      <c r="J770" s="111"/>
      <c r="K770" s="76"/>
      <c r="L770" s="75"/>
      <c r="M770" s="75"/>
      <c r="AG770" s="75"/>
      <c r="AH770" s="75"/>
    </row>
    <row r="771" spans="1:34" ht="37.5" hidden="1" x14ac:dyDescent="0.3">
      <c r="A771" s="138" t="s">
        <v>58</v>
      </c>
      <c r="B771" s="11">
        <v>936</v>
      </c>
      <c r="C771" s="12" t="s">
        <v>121</v>
      </c>
      <c r="D771" s="12" t="s">
        <v>128</v>
      </c>
      <c r="E771" s="12" t="s">
        <v>256</v>
      </c>
      <c r="F771" s="12" t="s">
        <v>59</v>
      </c>
      <c r="G771" s="53">
        <f>BU771</f>
        <v>0</v>
      </c>
      <c r="H771" s="111"/>
      <c r="I771" s="112"/>
      <c r="J771" s="111"/>
      <c r="K771" s="76"/>
      <c r="L771" s="75"/>
      <c r="M771" s="75"/>
      <c r="AG771" s="75"/>
      <c r="AH771" s="75"/>
    </row>
    <row r="772" spans="1:34" ht="24" hidden="1" customHeight="1" x14ac:dyDescent="0.3">
      <c r="A772" s="138" t="s">
        <v>409</v>
      </c>
      <c r="B772" s="11">
        <v>936</v>
      </c>
      <c r="C772" s="12" t="s">
        <v>121</v>
      </c>
      <c r="D772" s="12" t="s">
        <v>128</v>
      </c>
      <c r="E772" s="13" t="s">
        <v>421</v>
      </c>
      <c r="F772" s="12" t="s">
        <v>50</v>
      </c>
      <c r="G772" s="53">
        <f>G773</f>
        <v>0</v>
      </c>
      <c r="H772" s="111"/>
      <c r="I772" s="112"/>
      <c r="J772" s="111"/>
      <c r="K772" s="76"/>
      <c r="L772" s="75"/>
      <c r="M772" s="75"/>
      <c r="AG772" s="75"/>
      <c r="AH772" s="75"/>
    </row>
    <row r="773" spans="1:34" hidden="1" x14ac:dyDescent="0.3">
      <c r="A773" s="138" t="s">
        <v>62</v>
      </c>
      <c r="B773" s="11">
        <v>936</v>
      </c>
      <c r="C773" s="12" t="s">
        <v>121</v>
      </c>
      <c r="D773" s="12" t="s">
        <v>128</v>
      </c>
      <c r="E773" s="12" t="s">
        <v>422</v>
      </c>
      <c r="F773" s="12" t="s">
        <v>50</v>
      </c>
      <c r="G773" s="53">
        <f>G776+G774</f>
        <v>0</v>
      </c>
      <c r="H773" s="111"/>
      <c r="I773" s="112"/>
      <c r="J773" s="111"/>
      <c r="K773" s="76"/>
      <c r="L773" s="75"/>
      <c r="M773" s="75"/>
      <c r="AG773" s="75"/>
      <c r="AH773" s="75"/>
    </row>
    <row r="774" spans="1:34" ht="31.5" hidden="1" customHeight="1" x14ac:dyDescent="0.3">
      <c r="A774" s="158" t="s">
        <v>64</v>
      </c>
      <c r="B774" s="11">
        <v>936</v>
      </c>
      <c r="C774" s="12" t="s">
        <v>121</v>
      </c>
      <c r="D774" s="12" t="s">
        <v>128</v>
      </c>
      <c r="E774" s="12" t="s">
        <v>483</v>
      </c>
      <c r="F774" s="12" t="s">
        <v>50</v>
      </c>
      <c r="G774" s="53">
        <f>G775</f>
        <v>0</v>
      </c>
      <c r="H774" s="111"/>
      <c r="I774" s="112"/>
      <c r="J774" s="111"/>
      <c r="K774" s="76"/>
      <c r="L774" s="75"/>
      <c r="M774" s="75"/>
      <c r="AG774" s="75"/>
      <c r="AH774" s="75"/>
    </row>
    <row r="775" spans="1:34" ht="37.5" hidden="1" x14ac:dyDescent="0.3">
      <c r="A775" s="138" t="s">
        <v>58</v>
      </c>
      <c r="B775" s="11">
        <v>936</v>
      </c>
      <c r="C775" s="12" t="s">
        <v>121</v>
      </c>
      <c r="D775" s="12" t="s">
        <v>128</v>
      </c>
      <c r="E775" s="12" t="s">
        <v>483</v>
      </c>
      <c r="F775" s="12" t="s">
        <v>59</v>
      </c>
      <c r="G775" s="53">
        <v>0</v>
      </c>
      <c r="H775" s="111"/>
      <c r="I775" s="112"/>
      <c r="J775" s="111"/>
      <c r="K775" s="76"/>
      <c r="L775" s="75"/>
      <c r="M775" s="75"/>
      <c r="AG775" s="75"/>
      <c r="AH775" s="75"/>
    </row>
    <row r="776" spans="1:34" ht="56.25" hidden="1" x14ac:dyDescent="0.3">
      <c r="A776" s="138" t="s">
        <v>257</v>
      </c>
      <c r="B776" s="11">
        <v>936</v>
      </c>
      <c r="C776" s="12" t="s">
        <v>121</v>
      </c>
      <c r="D776" s="12" t="s">
        <v>128</v>
      </c>
      <c r="E776" s="12" t="s">
        <v>423</v>
      </c>
      <c r="F776" s="12" t="s">
        <v>50</v>
      </c>
      <c r="G776" s="53">
        <f>G777</f>
        <v>0</v>
      </c>
      <c r="H776" s="111"/>
      <c r="I776" s="112"/>
      <c r="J776" s="111"/>
      <c r="K776" s="76"/>
      <c r="L776" s="75"/>
      <c r="M776" s="75"/>
      <c r="AG776" s="75"/>
      <c r="AH776" s="75"/>
    </row>
    <row r="777" spans="1:34" ht="37.5" hidden="1" x14ac:dyDescent="0.3">
      <c r="A777" s="138" t="s">
        <v>425</v>
      </c>
      <c r="B777" s="11">
        <v>936</v>
      </c>
      <c r="C777" s="12" t="s">
        <v>121</v>
      </c>
      <c r="D777" s="12" t="s">
        <v>128</v>
      </c>
      <c r="E777" s="12" t="s">
        <v>423</v>
      </c>
      <c r="F777" s="12" t="s">
        <v>59</v>
      </c>
      <c r="G777" s="53">
        <v>0</v>
      </c>
      <c r="H777" s="111"/>
      <c r="I777" s="112"/>
      <c r="J777" s="111"/>
      <c r="K777" s="76"/>
      <c r="L777" s="75"/>
      <c r="M777" s="75"/>
      <c r="AG777" s="75"/>
      <c r="AH777" s="75"/>
    </row>
    <row r="778" spans="1:34" ht="45.75" hidden="1" customHeight="1" x14ac:dyDescent="0.3">
      <c r="A778" s="151" t="s">
        <v>457</v>
      </c>
      <c r="B778" s="11">
        <v>936</v>
      </c>
      <c r="C778" s="12" t="s">
        <v>121</v>
      </c>
      <c r="D778" s="12" t="s">
        <v>128</v>
      </c>
      <c r="E778" s="13" t="s">
        <v>102</v>
      </c>
      <c r="F778" s="12" t="s">
        <v>50</v>
      </c>
      <c r="G778" s="53">
        <f>G779+G782</f>
        <v>0</v>
      </c>
      <c r="H778" s="111"/>
      <c r="I778" s="112"/>
      <c r="J778" s="111"/>
      <c r="K778" s="76"/>
      <c r="L778" s="75"/>
      <c r="M778" s="75"/>
      <c r="AG778" s="75"/>
      <c r="AH778" s="75"/>
    </row>
    <row r="779" spans="1:34" hidden="1" x14ac:dyDescent="0.3">
      <c r="A779" s="158" t="s">
        <v>62</v>
      </c>
      <c r="B779" s="11">
        <v>936</v>
      </c>
      <c r="C779" s="12" t="s">
        <v>121</v>
      </c>
      <c r="D779" s="12" t="s">
        <v>128</v>
      </c>
      <c r="E779" s="12" t="s">
        <v>466</v>
      </c>
      <c r="F779" s="12" t="s">
        <v>50</v>
      </c>
      <c r="G779" s="53">
        <f>G780</f>
        <v>0</v>
      </c>
      <c r="H779" s="111"/>
      <c r="I779" s="112"/>
      <c r="J779" s="111"/>
      <c r="K779" s="76"/>
      <c r="L779" s="75"/>
      <c r="M779" s="75"/>
      <c r="AG779" s="75"/>
      <c r="AH779" s="75"/>
    </row>
    <row r="780" spans="1:34" ht="25.5" hidden="1" customHeight="1" x14ac:dyDescent="0.3">
      <c r="A780" s="158" t="s">
        <v>64</v>
      </c>
      <c r="B780" s="11">
        <v>936</v>
      </c>
      <c r="C780" s="12" t="s">
        <v>121</v>
      </c>
      <c r="D780" s="12" t="s">
        <v>128</v>
      </c>
      <c r="E780" s="12" t="s">
        <v>454</v>
      </c>
      <c r="F780" s="12" t="s">
        <v>50</v>
      </c>
      <c r="G780" s="53">
        <f>G781</f>
        <v>0</v>
      </c>
      <c r="H780" s="111"/>
      <c r="I780" s="112"/>
      <c r="J780" s="111"/>
      <c r="K780" s="76"/>
      <c r="L780" s="75"/>
      <c r="M780" s="75"/>
      <c r="AG780" s="75"/>
      <c r="AH780" s="75"/>
    </row>
    <row r="781" spans="1:34" ht="38.25" hidden="1" customHeight="1" x14ac:dyDescent="0.3">
      <c r="A781" s="138" t="s">
        <v>425</v>
      </c>
      <c r="B781" s="11">
        <v>936</v>
      </c>
      <c r="C781" s="12" t="s">
        <v>121</v>
      </c>
      <c r="D781" s="12" t="s">
        <v>128</v>
      </c>
      <c r="E781" s="12" t="s">
        <v>454</v>
      </c>
      <c r="F781" s="12" t="s">
        <v>59</v>
      </c>
      <c r="G781" s="53"/>
      <c r="H781" s="111"/>
      <c r="I781" s="112"/>
      <c r="J781" s="111"/>
      <c r="K781" s="76"/>
      <c r="L781" s="75"/>
      <c r="M781" s="75"/>
      <c r="AG781" s="75"/>
      <c r="AH781" s="75"/>
    </row>
    <row r="782" spans="1:34" ht="37.5" hidden="1" x14ac:dyDescent="0.3">
      <c r="A782" s="176" t="s">
        <v>401</v>
      </c>
      <c r="B782" s="54">
        <v>936</v>
      </c>
      <c r="C782" s="12" t="s">
        <v>121</v>
      </c>
      <c r="D782" s="12" t="s">
        <v>128</v>
      </c>
      <c r="E782" s="42" t="s">
        <v>353</v>
      </c>
      <c r="F782" s="18" t="s">
        <v>50</v>
      </c>
      <c r="G782" s="53">
        <f>G783</f>
        <v>0</v>
      </c>
      <c r="H782" s="111"/>
      <c r="I782" s="112"/>
      <c r="J782" s="111"/>
      <c r="K782" s="76"/>
      <c r="L782" s="75"/>
      <c r="M782" s="75"/>
      <c r="AG782" s="75"/>
      <c r="AH782" s="75"/>
    </row>
    <row r="783" spans="1:34" ht="37.5" hidden="1" x14ac:dyDescent="0.3">
      <c r="A783" s="176" t="s">
        <v>402</v>
      </c>
      <c r="B783" s="54">
        <v>936</v>
      </c>
      <c r="C783" s="12" t="s">
        <v>121</v>
      </c>
      <c r="D783" s="12" t="s">
        <v>128</v>
      </c>
      <c r="E783" s="42" t="s">
        <v>354</v>
      </c>
      <c r="F783" s="18" t="s">
        <v>50</v>
      </c>
      <c r="G783" s="53">
        <f>G784</f>
        <v>0</v>
      </c>
      <c r="H783" s="111"/>
      <c r="I783" s="112"/>
      <c r="J783" s="111"/>
      <c r="K783" s="76"/>
      <c r="L783" s="75"/>
      <c r="M783" s="75"/>
      <c r="AG783" s="75"/>
      <c r="AH783" s="75"/>
    </row>
    <row r="784" spans="1:34" ht="37.5" hidden="1" x14ac:dyDescent="0.3">
      <c r="A784" s="158" t="s">
        <v>352</v>
      </c>
      <c r="B784" s="54">
        <v>936</v>
      </c>
      <c r="C784" s="12" t="s">
        <v>121</v>
      </c>
      <c r="D784" s="12" t="s">
        <v>128</v>
      </c>
      <c r="E784" s="42" t="s">
        <v>355</v>
      </c>
      <c r="F784" s="42" t="s">
        <v>50</v>
      </c>
      <c r="G784" s="53">
        <f>G785</f>
        <v>0</v>
      </c>
      <c r="H784" s="111"/>
      <c r="I784" s="112"/>
      <c r="J784" s="111"/>
      <c r="K784" s="76"/>
      <c r="L784" s="75"/>
      <c r="M784" s="75"/>
      <c r="AG784" s="75"/>
      <c r="AH784" s="75"/>
    </row>
    <row r="785" spans="1:118" ht="37.5" hidden="1" x14ac:dyDescent="0.3">
      <c r="A785" s="138" t="s">
        <v>425</v>
      </c>
      <c r="B785" s="54">
        <v>936</v>
      </c>
      <c r="C785" s="12" t="s">
        <v>121</v>
      </c>
      <c r="D785" s="12" t="s">
        <v>128</v>
      </c>
      <c r="E785" s="42" t="s">
        <v>355</v>
      </c>
      <c r="F785" s="42" t="s">
        <v>59</v>
      </c>
      <c r="G785" s="53"/>
      <c r="H785" s="111"/>
      <c r="I785" s="112"/>
      <c r="J785" s="111"/>
      <c r="K785" s="76"/>
      <c r="L785" s="75"/>
      <c r="M785" s="75"/>
      <c r="AG785" s="75"/>
      <c r="AH785" s="75"/>
    </row>
    <row r="786" spans="1:118" ht="65.25" hidden="1" customHeight="1" x14ac:dyDescent="0.3">
      <c r="A786" s="138" t="s">
        <v>616</v>
      </c>
      <c r="B786" s="66">
        <v>936</v>
      </c>
      <c r="C786" s="12" t="s">
        <v>121</v>
      </c>
      <c r="D786" s="12" t="s">
        <v>128</v>
      </c>
      <c r="E786" s="42" t="s">
        <v>615</v>
      </c>
      <c r="F786" s="42" t="s">
        <v>50</v>
      </c>
      <c r="G786" s="53">
        <f>G787</f>
        <v>0</v>
      </c>
      <c r="H786" s="111"/>
      <c r="I786" s="112"/>
      <c r="J786" s="111"/>
      <c r="K786" s="76"/>
      <c r="L786" s="75"/>
      <c r="M786" s="75"/>
      <c r="AG786" s="75"/>
      <c r="AH786" s="75"/>
    </row>
    <row r="787" spans="1:118" ht="37.5" hidden="1" x14ac:dyDescent="0.3">
      <c r="A787" s="138" t="s">
        <v>58</v>
      </c>
      <c r="B787" s="66">
        <v>936</v>
      </c>
      <c r="C787" s="12" t="s">
        <v>121</v>
      </c>
      <c r="D787" s="12" t="s">
        <v>128</v>
      </c>
      <c r="E787" s="42" t="s">
        <v>615</v>
      </c>
      <c r="F787" s="42" t="s">
        <v>59</v>
      </c>
      <c r="G787" s="53">
        <v>0</v>
      </c>
      <c r="H787" s="111"/>
      <c r="I787" s="112"/>
      <c r="J787" s="111"/>
      <c r="K787" s="76"/>
      <c r="L787" s="75"/>
      <c r="M787" s="75"/>
      <c r="W787">
        <v>30080</v>
      </c>
      <c r="AG787" s="75"/>
      <c r="AH787" s="75"/>
      <c r="AK787" s="75">
        <v>0</v>
      </c>
    </row>
    <row r="788" spans="1:118" ht="56.25" hidden="1" x14ac:dyDescent="0.3">
      <c r="A788" s="138" t="s">
        <v>458</v>
      </c>
      <c r="B788" s="11">
        <v>936</v>
      </c>
      <c r="C788" s="12" t="s">
        <v>121</v>
      </c>
      <c r="D788" s="12" t="s">
        <v>128</v>
      </c>
      <c r="E788" s="13" t="s">
        <v>29</v>
      </c>
      <c r="F788" s="12" t="s">
        <v>50</v>
      </c>
      <c r="G788" s="53">
        <v>0</v>
      </c>
      <c r="H788" s="111"/>
      <c r="I788" s="112"/>
      <c r="J788" s="111"/>
      <c r="K788" s="76"/>
      <c r="L788" s="75"/>
      <c r="M788" s="75"/>
      <c r="AG788" s="75"/>
      <c r="AH788" s="75"/>
    </row>
    <row r="789" spans="1:118" ht="75" x14ac:dyDescent="0.3">
      <c r="A789" s="138" t="s">
        <v>249</v>
      </c>
      <c r="B789" s="11">
        <v>936</v>
      </c>
      <c r="C789" s="12" t="s">
        <v>121</v>
      </c>
      <c r="D789" s="12" t="s">
        <v>128</v>
      </c>
      <c r="E789" s="12" t="s">
        <v>824</v>
      </c>
      <c r="F789" s="12" t="s">
        <v>50</v>
      </c>
      <c r="G789" s="53">
        <f>G790+G792+G794+G796+G798+G800+G802+G804+G806+G808</f>
        <v>11077.176000000001</v>
      </c>
      <c r="H789" s="111"/>
      <c r="I789" s="112"/>
      <c r="J789" s="111"/>
      <c r="K789" s="76"/>
      <c r="L789" s="75"/>
      <c r="M789" s="75"/>
      <c r="AG789" s="75"/>
      <c r="AH789" s="75"/>
    </row>
    <row r="790" spans="1:118" ht="112.5" x14ac:dyDescent="0.3">
      <c r="A790" s="138" t="s">
        <v>1120</v>
      </c>
      <c r="B790" s="54">
        <v>936</v>
      </c>
      <c r="C790" s="12" t="s">
        <v>121</v>
      </c>
      <c r="D790" s="12" t="s">
        <v>128</v>
      </c>
      <c r="E790" s="12" t="s">
        <v>825</v>
      </c>
      <c r="F790" s="12" t="s">
        <v>50</v>
      </c>
      <c r="G790" s="53">
        <f>G791</f>
        <v>1040.268</v>
      </c>
      <c r="H790" s="111"/>
      <c r="I790" s="112"/>
      <c r="J790" s="111"/>
      <c r="K790" s="76"/>
      <c r="L790" s="75"/>
      <c r="M790" s="75"/>
      <c r="AG790" s="75"/>
      <c r="AH790" s="75"/>
    </row>
    <row r="791" spans="1:118" ht="37.5" x14ac:dyDescent="0.3">
      <c r="A791" s="138" t="s">
        <v>425</v>
      </c>
      <c r="B791" s="54">
        <v>936</v>
      </c>
      <c r="C791" s="12" t="s">
        <v>121</v>
      </c>
      <c r="D791" s="12" t="s">
        <v>128</v>
      </c>
      <c r="E791" s="12" t="s">
        <v>825</v>
      </c>
      <c r="F791" s="42" t="s">
        <v>59</v>
      </c>
      <c r="G791" s="68">
        <f>CT791+DN791</f>
        <v>1040.268</v>
      </c>
      <c r="H791" s="111"/>
      <c r="I791" s="112"/>
      <c r="J791" s="111"/>
      <c r="K791" s="76">
        <v>545</v>
      </c>
      <c r="L791" s="75"/>
      <c r="M791" s="75"/>
      <c r="AG791" s="75"/>
      <c r="AH791" s="75"/>
      <c r="AK791" s="75">
        <v>0</v>
      </c>
      <c r="AP791" s="146">
        <v>1500</v>
      </c>
      <c r="CT791" s="250">
        <v>1500</v>
      </c>
      <c r="DN791" s="260">
        <v>-459.73200000000003</v>
      </c>
    </row>
    <row r="792" spans="1:118" ht="126.75" customHeight="1" x14ac:dyDescent="0.3">
      <c r="A792" s="138" t="s">
        <v>1121</v>
      </c>
      <c r="B792" s="54">
        <v>936</v>
      </c>
      <c r="C792" s="12" t="s">
        <v>121</v>
      </c>
      <c r="D792" s="12" t="s">
        <v>128</v>
      </c>
      <c r="E792" s="12" t="s">
        <v>984</v>
      </c>
      <c r="F792" s="42" t="s">
        <v>50</v>
      </c>
      <c r="G792" s="53">
        <f>G793</f>
        <v>1385.0360000000001</v>
      </c>
      <c r="H792" s="111"/>
      <c r="I792" s="112"/>
      <c r="J792" s="111"/>
      <c r="K792" s="76"/>
      <c r="L792" s="75"/>
      <c r="M792" s="75"/>
      <c r="AG792" s="75"/>
      <c r="AH792" s="75"/>
    </row>
    <row r="793" spans="1:118" ht="37.5" x14ac:dyDescent="0.3">
      <c r="A793" s="138" t="s">
        <v>58</v>
      </c>
      <c r="B793" s="54">
        <v>936</v>
      </c>
      <c r="C793" s="12" t="s">
        <v>121</v>
      </c>
      <c r="D793" s="12" t="s">
        <v>128</v>
      </c>
      <c r="E793" s="12" t="s">
        <v>984</v>
      </c>
      <c r="F793" s="42" t="s">
        <v>59</v>
      </c>
      <c r="G793" s="68">
        <f>CT793+DN793</f>
        <v>1385.0360000000001</v>
      </c>
      <c r="H793" s="111"/>
      <c r="I793" s="112"/>
      <c r="J793" s="111"/>
      <c r="K793" s="76">
        <v>1000</v>
      </c>
      <c r="L793" s="75"/>
      <c r="M793" s="75"/>
      <c r="AG793" s="75"/>
      <c r="AH793" s="75"/>
      <c r="AK793" s="75">
        <v>0</v>
      </c>
      <c r="AP793" s="146">
        <v>1500</v>
      </c>
      <c r="CT793" s="250">
        <v>1500</v>
      </c>
      <c r="DN793" s="260">
        <v>-114.964</v>
      </c>
    </row>
    <row r="794" spans="1:118" ht="93.75" x14ac:dyDescent="0.3">
      <c r="A794" s="138" t="s">
        <v>1095</v>
      </c>
      <c r="B794" s="54">
        <v>936</v>
      </c>
      <c r="C794" s="12" t="s">
        <v>121</v>
      </c>
      <c r="D794" s="12" t="s">
        <v>128</v>
      </c>
      <c r="E794" s="12" t="s">
        <v>985</v>
      </c>
      <c r="F794" s="42" t="s">
        <v>50</v>
      </c>
      <c r="G794" s="53">
        <f>G795</f>
        <v>1078.3699999999999</v>
      </c>
      <c r="H794" s="111"/>
      <c r="I794" s="112"/>
      <c r="J794" s="111"/>
      <c r="K794" s="76"/>
      <c r="L794" s="75"/>
      <c r="M794" s="75"/>
      <c r="AG794" s="75"/>
      <c r="AH794" s="75"/>
    </row>
    <row r="795" spans="1:118" ht="42" customHeight="1" x14ac:dyDescent="0.3">
      <c r="A795" s="138" t="s">
        <v>425</v>
      </c>
      <c r="B795" s="54">
        <v>936</v>
      </c>
      <c r="C795" s="12" t="s">
        <v>121</v>
      </c>
      <c r="D795" s="12" t="s">
        <v>128</v>
      </c>
      <c r="E795" s="12" t="s">
        <v>985</v>
      </c>
      <c r="F795" s="42" t="s">
        <v>59</v>
      </c>
      <c r="G795" s="68">
        <f>CT795+DN795</f>
        <v>1078.3699999999999</v>
      </c>
      <c r="H795" s="111"/>
      <c r="I795" s="112"/>
      <c r="J795" s="111"/>
      <c r="K795" s="76">
        <v>945</v>
      </c>
      <c r="L795" s="75"/>
      <c r="M795" s="75"/>
      <c r="AG795" s="75">
        <v>-31.395</v>
      </c>
      <c r="AH795" s="75"/>
      <c r="AK795" s="75">
        <v>0</v>
      </c>
      <c r="AP795" s="146">
        <v>1308.298</v>
      </c>
      <c r="CT795" s="250">
        <v>1500</v>
      </c>
      <c r="DN795" s="260">
        <v>-421.63</v>
      </c>
    </row>
    <row r="796" spans="1:118" ht="150" x14ac:dyDescent="0.3">
      <c r="A796" s="138" t="s">
        <v>1110</v>
      </c>
      <c r="B796" s="54">
        <v>936</v>
      </c>
      <c r="C796" s="12" t="s">
        <v>121</v>
      </c>
      <c r="D796" s="12" t="s">
        <v>128</v>
      </c>
      <c r="E796" s="12" t="s">
        <v>986</v>
      </c>
      <c r="F796" s="42" t="s">
        <v>50</v>
      </c>
      <c r="G796" s="53">
        <f>G797</f>
        <v>1083.04</v>
      </c>
      <c r="H796" s="111"/>
      <c r="I796" s="112"/>
      <c r="J796" s="111"/>
      <c r="K796" s="76"/>
      <c r="L796" s="75"/>
      <c r="M796" s="75"/>
      <c r="AG796" s="75"/>
      <c r="AH796" s="75"/>
    </row>
    <row r="797" spans="1:118" ht="37.5" x14ac:dyDescent="0.3">
      <c r="A797" s="138" t="s">
        <v>425</v>
      </c>
      <c r="B797" s="54">
        <v>936</v>
      </c>
      <c r="C797" s="12" t="s">
        <v>121</v>
      </c>
      <c r="D797" s="12" t="s">
        <v>128</v>
      </c>
      <c r="E797" s="12" t="s">
        <v>986</v>
      </c>
      <c r="F797" s="42" t="s">
        <v>59</v>
      </c>
      <c r="G797" s="53">
        <f>CT797+DN797</f>
        <v>1083.04</v>
      </c>
      <c r="H797" s="111"/>
      <c r="I797" s="112"/>
      <c r="J797" s="111"/>
      <c r="K797" s="76">
        <v>760</v>
      </c>
      <c r="L797" s="75"/>
      <c r="M797" s="75"/>
      <c r="AG797" s="75">
        <v>-26.561</v>
      </c>
      <c r="AH797" s="75"/>
      <c r="AK797" s="75">
        <v>0</v>
      </c>
      <c r="AT797" s="187">
        <v>802.98199999999997</v>
      </c>
      <c r="CT797" s="250">
        <v>1500</v>
      </c>
      <c r="DN797" s="260">
        <v>-416.96</v>
      </c>
    </row>
    <row r="798" spans="1:118" ht="121.5" customHeight="1" x14ac:dyDescent="0.3">
      <c r="A798" s="138" t="s">
        <v>1122</v>
      </c>
      <c r="B798" s="54">
        <v>936</v>
      </c>
      <c r="C798" s="12" t="s">
        <v>121</v>
      </c>
      <c r="D798" s="12" t="s">
        <v>128</v>
      </c>
      <c r="E798" s="12" t="s">
        <v>987</v>
      </c>
      <c r="F798" s="42" t="s">
        <v>50</v>
      </c>
      <c r="G798" s="53">
        <f>G799</f>
        <v>1126.9929999999999</v>
      </c>
      <c r="H798" s="111"/>
      <c r="I798" s="112"/>
      <c r="J798" s="111"/>
      <c r="K798" s="76"/>
      <c r="L798" s="75"/>
      <c r="M798" s="75"/>
      <c r="AG798" s="75"/>
      <c r="AH798" s="75"/>
    </row>
    <row r="799" spans="1:118" ht="37.5" x14ac:dyDescent="0.3">
      <c r="A799" s="138" t="s">
        <v>58</v>
      </c>
      <c r="B799" s="54">
        <v>936</v>
      </c>
      <c r="C799" s="12" t="s">
        <v>121</v>
      </c>
      <c r="D799" s="12" t="s">
        <v>128</v>
      </c>
      <c r="E799" s="12" t="s">
        <v>987</v>
      </c>
      <c r="F799" s="42" t="s">
        <v>59</v>
      </c>
      <c r="G799" s="68">
        <f>CT799+DN799</f>
        <v>1126.9929999999999</v>
      </c>
      <c r="H799" s="111"/>
      <c r="I799" s="112"/>
      <c r="J799" s="111"/>
      <c r="K799" s="76">
        <v>1000</v>
      </c>
      <c r="L799" s="75"/>
      <c r="M799" s="75"/>
      <c r="AG799" s="75"/>
      <c r="AH799" s="75"/>
      <c r="AK799" s="75">
        <v>0</v>
      </c>
      <c r="CT799" s="250">
        <v>1500</v>
      </c>
      <c r="DN799" s="260">
        <v>-373.00700000000001</v>
      </c>
    </row>
    <row r="800" spans="1:118" ht="131.25" x14ac:dyDescent="0.3">
      <c r="A800" s="138" t="s">
        <v>1123</v>
      </c>
      <c r="B800" s="54">
        <v>936</v>
      </c>
      <c r="C800" s="12" t="s">
        <v>121</v>
      </c>
      <c r="D800" s="12" t="s">
        <v>128</v>
      </c>
      <c r="E800" s="12" t="s">
        <v>988</v>
      </c>
      <c r="F800" s="42" t="s">
        <v>50</v>
      </c>
      <c r="G800" s="53">
        <f>G801</f>
        <v>553.93399999999997</v>
      </c>
      <c r="H800" s="111"/>
      <c r="I800" s="112"/>
      <c r="J800" s="111"/>
      <c r="K800" s="76"/>
      <c r="L800" s="75"/>
      <c r="M800" s="75"/>
      <c r="AG800" s="75"/>
      <c r="AH800" s="75"/>
    </row>
    <row r="801" spans="1:118" ht="37.5" x14ac:dyDescent="0.3">
      <c r="A801" s="138" t="s">
        <v>425</v>
      </c>
      <c r="B801" s="54">
        <v>936</v>
      </c>
      <c r="C801" s="12" t="s">
        <v>121</v>
      </c>
      <c r="D801" s="12" t="s">
        <v>128</v>
      </c>
      <c r="E801" s="12" t="s">
        <v>988</v>
      </c>
      <c r="F801" s="42" t="s">
        <v>59</v>
      </c>
      <c r="G801" s="68">
        <f>CT801+DN801</f>
        <v>553.93399999999997</v>
      </c>
      <c r="H801" s="111"/>
      <c r="I801" s="112"/>
      <c r="J801" s="111"/>
      <c r="K801" s="76">
        <v>928</v>
      </c>
      <c r="L801" s="75"/>
      <c r="M801" s="75"/>
      <c r="AG801" s="75"/>
      <c r="AH801" s="75"/>
      <c r="AK801" s="75">
        <v>0</v>
      </c>
      <c r="CT801" s="250">
        <v>687.22199999999998</v>
      </c>
      <c r="DN801" s="260">
        <v>-133.28800000000001</v>
      </c>
    </row>
    <row r="802" spans="1:118" ht="93.75" x14ac:dyDescent="0.3">
      <c r="A802" s="138" t="s">
        <v>1124</v>
      </c>
      <c r="B802" s="54">
        <v>936</v>
      </c>
      <c r="C802" s="12" t="s">
        <v>121</v>
      </c>
      <c r="D802" s="12" t="s">
        <v>128</v>
      </c>
      <c r="E802" s="12" t="s">
        <v>989</v>
      </c>
      <c r="F802" s="42" t="s">
        <v>50</v>
      </c>
      <c r="G802" s="53">
        <f>G803</f>
        <v>1336.2649999999999</v>
      </c>
      <c r="H802" s="111"/>
      <c r="I802" s="112"/>
      <c r="J802" s="111"/>
      <c r="K802" s="76"/>
      <c r="L802" s="75"/>
      <c r="M802" s="75"/>
      <c r="AG802" s="75"/>
      <c r="AH802" s="75"/>
    </row>
    <row r="803" spans="1:118" ht="37.5" x14ac:dyDescent="0.3">
      <c r="A803" s="138" t="s">
        <v>425</v>
      </c>
      <c r="B803" s="54">
        <v>936</v>
      </c>
      <c r="C803" s="12" t="s">
        <v>121</v>
      </c>
      <c r="D803" s="12" t="s">
        <v>128</v>
      </c>
      <c r="E803" s="12" t="s">
        <v>989</v>
      </c>
      <c r="F803" s="42" t="s">
        <v>59</v>
      </c>
      <c r="G803" s="68">
        <f>CT803+DN803</f>
        <v>1336.2649999999999</v>
      </c>
      <c r="H803" s="111"/>
      <c r="I803" s="112"/>
      <c r="J803" s="111"/>
      <c r="K803" s="76">
        <v>790</v>
      </c>
      <c r="L803" s="75"/>
      <c r="M803" s="75"/>
      <c r="AG803" s="75"/>
      <c r="AH803" s="75"/>
      <c r="AK803" s="75">
        <v>0</v>
      </c>
      <c r="CT803" s="250">
        <v>1500</v>
      </c>
      <c r="DN803" s="260">
        <v>-163.73500000000001</v>
      </c>
    </row>
    <row r="804" spans="1:118" ht="93.75" x14ac:dyDescent="0.3">
      <c r="A804" s="138" t="s">
        <v>1113</v>
      </c>
      <c r="B804" s="54">
        <v>936</v>
      </c>
      <c r="C804" s="12" t="s">
        <v>121</v>
      </c>
      <c r="D804" s="12" t="s">
        <v>128</v>
      </c>
      <c r="E804" s="12" t="s">
        <v>990</v>
      </c>
      <c r="F804" s="42" t="s">
        <v>50</v>
      </c>
      <c r="G804" s="68">
        <f>G805</f>
        <v>980.6629999999999</v>
      </c>
      <c r="H804" s="111"/>
      <c r="I804" s="112"/>
      <c r="J804" s="111"/>
      <c r="K804" s="76"/>
      <c r="L804" s="75"/>
      <c r="M804" s="75"/>
      <c r="AG804" s="75"/>
      <c r="AH804" s="75"/>
    </row>
    <row r="805" spans="1:118" ht="37.5" x14ac:dyDescent="0.3">
      <c r="A805" s="138" t="s">
        <v>425</v>
      </c>
      <c r="B805" s="54">
        <v>936</v>
      </c>
      <c r="C805" s="12" t="s">
        <v>121</v>
      </c>
      <c r="D805" s="12" t="s">
        <v>128</v>
      </c>
      <c r="E805" s="12" t="s">
        <v>990</v>
      </c>
      <c r="F805" s="42" t="s">
        <v>59</v>
      </c>
      <c r="G805" s="68">
        <f>CT805+DN805</f>
        <v>980.6629999999999</v>
      </c>
      <c r="H805" s="111"/>
      <c r="I805" s="112"/>
      <c r="J805" s="111"/>
      <c r="K805" s="76"/>
      <c r="L805" s="75"/>
      <c r="M805" s="75"/>
      <c r="AG805" s="75"/>
      <c r="AH805" s="75"/>
      <c r="CT805" s="250">
        <v>1263.2439999999999</v>
      </c>
      <c r="DN805" s="260">
        <v>-282.58100000000002</v>
      </c>
    </row>
    <row r="806" spans="1:118" ht="112.5" x14ac:dyDescent="0.3">
      <c r="A806" s="138" t="s">
        <v>1125</v>
      </c>
      <c r="B806" s="54">
        <v>936</v>
      </c>
      <c r="C806" s="12" t="s">
        <v>121</v>
      </c>
      <c r="D806" s="12" t="s">
        <v>128</v>
      </c>
      <c r="E806" s="42" t="s">
        <v>991</v>
      </c>
      <c r="F806" s="42" t="s">
        <v>50</v>
      </c>
      <c r="G806" s="68">
        <f>G807</f>
        <v>997.05700000000002</v>
      </c>
      <c r="H806" s="111"/>
      <c r="I806" s="112"/>
      <c r="J806" s="111"/>
      <c r="K806" s="76"/>
      <c r="L806" s="75"/>
      <c r="M806" s="75"/>
      <c r="AG806" s="75"/>
      <c r="AH806" s="75"/>
    </row>
    <row r="807" spans="1:118" ht="37.5" x14ac:dyDescent="0.3">
      <c r="A807" s="138" t="s">
        <v>425</v>
      </c>
      <c r="B807" s="54">
        <v>936</v>
      </c>
      <c r="C807" s="12" t="s">
        <v>121</v>
      </c>
      <c r="D807" s="12" t="s">
        <v>128</v>
      </c>
      <c r="E807" s="42" t="s">
        <v>991</v>
      </c>
      <c r="F807" s="42" t="s">
        <v>59</v>
      </c>
      <c r="G807" s="68">
        <f>CT807+DN807</f>
        <v>997.05700000000002</v>
      </c>
      <c r="H807" s="111"/>
      <c r="I807" s="112"/>
      <c r="J807" s="111"/>
      <c r="K807" s="76"/>
      <c r="L807" s="75"/>
      <c r="M807" s="75"/>
      <c r="AG807" s="75"/>
      <c r="AH807" s="75"/>
      <c r="CA807" s="218">
        <v>802.98199999999997</v>
      </c>
      <c r="CT807" s="250">
        <v>1000</v>
      </c>
      <c r="DN807" s="260">
        <v>-2.9430000000000001</v>
      </c>
    </row>
    <row r="808" spans="1:118" ht="112.5" x14ac:dyDescent="0.3">
      <c r="A808" s="138" t="s">
        <v>1126</v>
      </c>
      <c r="B808" s="54">
        <v>936</v>
      </c>
      <c r="C808" s="12" t="s">
        <v>121</v>
      </c>
      <c r="D808" s="12" t="s">
        <v>128</v>
      </c>
      <c r="E808" s="42" t="s">
        <v>992</v>
      </c>
      <c r="F808" s="42" t="s">
        <v>50</v>
      </c>
      <c r="G808" s="68">
        <f>G809</f>
        <v>1495.55</v>
      </c>
      <c r="H808" s="111"/>
      <c r="I808" s="112"/>
      <c r="J808" s="111"/>
      <c r="K808" s="76"/>
      <c r="L808" s="75"/>
      <c r="M808" s="75"/>
      <c r="AG808" s="75"/>
      <c r="AH808" s="75"/>
    </row>
    <row r="809" spans="1:118" ht="37.5" x14ac:dyDescent="0.3">
      <c r="A809" s="138" t="s">
        <v>425</v>
      </c>
      <c r="B809" s="54">
        <v>936</v>
      </c>
      <c r="C809" s="12" t="s">
        <v>121</v>
      </c>
      <c r="D809" s="12" t="s">
        <v>128</v>
      </c>
      <c r="E809" s="42" t="s">
        <v>992</v>
      </c>
      <c r="F809" s="42" t="s">
        <v>59</v>
      </c>
      <c r="G809" s="68">
        <f>CT809+DN809</f>
        <v>1495.55</v>
      </c>
      <c r="H809" s="111"/>
      <c r="I809" s="112"/>
      <c r="J809" s="111"/>
      <c r="K809" s="76"/>
      <c r="L809" s="75"/>
      <c r="M809" s="75"/>
      <c r="AG809" s="75"/>
      <c r="AH809" s="75"/>
      <c r="CE809" s="187">
        <v>1126.442</v>
      </c>
      <c r="CT809" s="250">
        <v>1500</v>
      </c>
      <c r="DN809" s="260">
        <v>-4.45</v>
      </c>
    </row>
    <row r="810" spans="1:118" ht="112.5" x14ac:dyDescent="0.3">
      <c r="A810" s="138" t="s">
        <v>1120</v>
      </c>
      <c r="B810" s="54">
        <v>936</v>
      </c>
      <c r="C810" s="12" t="s">
        <v>121</v>
      </c>
      <c r="D810" s="12" t="s">
        <v>128</v>
      </c>
      <c r="E810" s="12" t="s">
        <v>828</v>
      </c>
      <c r="F810" s="42" t="s">
        <v>50</v>
      </c>
      <c r="G810" s="53">
        <f>G811</f>
        <v>161.37900000000002</v>
      </c>
      <c r="H810" s="111"/>
      <c r="I810" s="112"/>
      <c r="J810" s="111"/>
      <c r="K810" s="76"/>
      <c r="L810" s="75"/>
      <c r="M810" s="75"/>
      <c r="AG810" s="75"/>
      <c r="AH810" s="75"/>
    </row>
    <row r="811" spans="1:118" ht="37.5" x14ac:dyDescent="0.3">
      <c r="A811" s="138" t="s">
        <v>425</v>
      </c>
      <c r="B811" s="54">
        <v>936</v>
      </c>
      <c r="C811" s="12" t="s">
        <v>121</v>
      </c>
      <c r="D811" s="12" t="s">
        <v>128</v>
      </c>
      <c r="E811" s="12" t="s">
        <v>828</v>
      </c>
      <c r="F811" s="42" t="s">
        <v>59</v>
      </c>
      <c r="G811" s="53">
        <f>CU811+DF811</f>
        <v>161.37900000000002</v>
      </c>
      <c r="H811" s="111"/>
      <c r="I811" s="112"/>
      <c r="J811" s="111"/>
      <c r="K811" s="76"/>
      <c r="L811" s="75"/>
      <c r="M811" s="75">
        <v>79.947000000000003</v>
      </c>
      <c r="AC811">
        <v>-19.086729999999999</v>
      </c>
      <c r="AG811" s="75"/>
      <c r="AH811" s="75"/>
      <c r="AK811" s="75">
        <v>0</v>
      </c>
      <c r="AQ811" s="146">
        <v>621.42399999999998</v>
      </c>
      <c r="CU811" s="250">
        <v>232.57900000000001</v>
      </c>
      <c r="DF811" s="187">
        <v>-71.2</v>
      </c>
    </row>
    <row r="812" spans="1:118" ht="131.25" x14ac:dyDescent="0.3">
      <c r="A812" s="138" t="s">
        <v>1121</v>
      </c>
      <c r="B812" s="54">
        <v>936</v>
      </c>
      <c r="C812" s="12" t="s">
        <v>121</v>
      </c>
      <c r="D812" s="12" t="s">
        <v>128</v>
      </c>
      <c r="E812" s="12" t="s">
        <v>993</v>
      </c>
      <c r="F812" s="42" t="s">
        <v>50</v>
      </c>
      <c r="G812" s="53">
        <f>G813</f>
        <v>592.51700000000005</v>
      </c>
      <c r="H812" s="111"/>
      <c r="I812" s="112"/>
      <c r="J812" s="111"/>
      <c r="K812" s="76"/>
      <c r="L812" s="75"/>
      <c r="M812" s="75"/>
      <c r="AG812" s="75"/>
      <c r="AH812" s="75"/>
    </row>
    <row r="813" spans="1:118" ht="37.5" x14ac:dyDescent="0.3">
      <c r="A813" s="138" t="s">
        <v>425</v>
      </c>
      <c r="B813" s="54">
        <v>936</v>
      </c>
      <c r="C813" s="12" t="s">
        <v>121</v>
      </c>
      <c r="D813" s="12" t="s">
        <v>128</v>
      </c>
      <c r="E813" s="12" t="s">
        <v>993</v>
      </c>
      <c r="F813" s="42" t="s">
        <v>59</v>
      </c>
      <c r="G813" s="53">
        <f>CU813+DC813+DF813</f>
        <v>592.51700000000005</v>
      </c>
      <c r="H813" s="111"/>
      <c r="I813" s="112"/>
      <c r="J813" s="111"/>
      <c r="K813" s="76"/>
      <c r="L813" s="75"/>
      <c r="M813" s="75">
        <v>228.387</v>
      </c>
      <c r="AG813" s="75"/>
      <c r="AH813" s="75"/>
      <c r="AK813" s="75">
        <v>0</v>
      </c>
      <c r="AQ813" s="146">
        <v>2223.3449999999998</v>
      </c>
      <c r="AV813" s="187">
        <v>-155</v>
      </c>
      <c r="AY813" s="218">
        <v>-693.24300000000005</v>
      </c>
      <c r="CU813" s="250">
        <v>681.26700000000005</v>
      </c>
      <c r="DC813" s="187">
        <v>-39.65</v>
      </c>
      <c r="DF813" s="187">
        <v>-49.1</v>
      </c>
    </row>
    <row r="814" spans="1:118" ht="93.75" x14ac:dyDescent="0.3">
      <c r="A814" s="138" t="s">
        <v>1095</v>
      </c>
      <c r="B814" s="54">
        <v>936</v>
      </c>
      <c r="C814" s="12" t="s">
        <v>121</v>
      </c>
      <c r="D814" s="12" t="s">
        <v>128</v>
      </c>
      <c r="E814" s="12" t="s">
        <v>994</v>
      </c>
      <c r="F814" s="42" t="s">
        <v>50</v>
      </c>
      <c r="G814" s="53">
        <f>G815</f>
        <v>339.238</v>
      </c>
      <c r="H814" s="111"/>
      <c r="I814" s="112"/>
      <c r="J814" s="111"/>
      <c r="K814" s="76"/>
      <c r="L814" s="75"/>
      <c r="M814" s="75"/>
      <c r="AG814" s="75"/>
      <c r="AH814" s="75"/>
    </row>
    <row r="815" spans="1:118" ht="37.5" x14ac:dyDescent="0.3">
      <c r="A815" s="138" t="s">
        <v>425</v>
      </c>
      <c r="B815" s="54">
        <v>936</v>
      </c>
      <c r="C815" s="12" t="s">
        <v>121</v>
      </c>
      <c r="D815" s="12" t="s">
        <v>128</v>
      </c>
      <c r="E815" s="12" t="s">
        <v>994</v>
      </c>
      <c r="F815" s="42" t="s">
        <v>59</v>
      </c>
      <c r="G815" s="53">
        <f>CU815+DF815</f>
        <v>339.238</v>
      </c>
      <c r="H815" s="111"/>
      <c r="I815" s="112"/>
      <c r="J815" s="111"/>
      <c r="K815" s="76"/>
      <c r="L815" s="75"/>
      <c r="M815" s="75">
        <v>129.23699999999999</v>
      </c>
      <c r="AG815" s="75"/>
      <c r="AH815" s="75"/>
      <c r="AK815" s="75">
        <v>0</v>
      </c>
      <c r="AQ815" s="146">
        <v>169.357</v>
      </c>
      <c r="CU815" s="250">
        <v>471.738</v>
      </c>
      <c r="DF815" s="187">
        <v>-132.5</v>
      </c>
    </row>
    <row r="816" spans="1:118" ht="150" x14ac:dyDescent="0.3">
      <c r="A816" s="138" t="s">
        <v>1110</v>
      </c>
      <c r="B816" s="54">
        <v>936</v>
      </c>
      <c r="C816" s="12" t="s">
        <v>121</v>
      </c>
      <c r="D816" s="12" t="s">
        <v>128</v>
      </c>
      <c r="E816" s="42" t="s">
        <v>995</v>
      </c>
      <c r="F816" s="42" t="s">
        <v>50</v>
      </c>
      <c r="G816" s="53">
        <f>G817</f>
        <v>479.75400000000002</v>
      </c>
      <c r="H816" s="111"/>
      <c r="I816" s="112"/>
      <c r="J816" s="111"/>
      <c r="K816" s="76"/>
      <c r="L816" s="75"/>
      <c r="M816" s="75"/>
      <c r="AG816" s="75"/>
      <c r="AH816" s="75"/>
    </row>
    <row r="817" spans="1:110" ht="37.5" x14ac:dyDescent="0.3">
      <c r="A817" s="138" t="s">
        <v>425</v>
      </c>
      <c r="B817" s="54">
        <v>936</v>
      </c>
      <c r="C817" s="12" t="s">
        <v>121</v>
      </c>
      <c r="D817" s="12" t="s">
        <v>128</v>
      </c>
      <c r="E817" s="42" t="s">
        <v>995</v>
      </c>
      <c r="F817" s="42" t="s">
        <v>59</v>
      </c>
      <c r="G817" s="53">
        <f>CU817+DF817</f>
        <v>479.75400000000002</v>
      </c>
      <c r="H817" s="111"/>
      <c r="I817" s="112"/>
      <c r="J817" s="111"/>
      <c r="K817" s="76"/>
      <c r="L817" s="75"/>
      <c r="M817" s="75">
        <v>109.40600000000001</v>
      </c>
      <c r="AG817" s="75"/>
      <c r="AH817" s="75"/>
      <c r="AK817" s="75">
        <v>0</v>
      </c>
      <c r="AS817" s="187">
        <v>89.498000000000005</v>
      </c>
      <c r="CU817" s="250">
        <v>664.35400000000004</v>
      </c>
      <c r="DF817" s="187">
        <v>-184.6</v>
      </c>
    </row>
    <row r="818" spans="1:110" ht="131.25" x14ac:dyDescent="0.3">
      <c r="A818" s="138" t="s">
        <v>1122</v>
      </c>
      <c r="B818" s="54">
        <v>936</v>
      </c>
      <c r="C818" s="12" t="s">
        <v>121</v>
      </c>
      <c r="D818" s="12" t="s">
        <v>128</v>
      </c>
      <c r="E818" s="42" t="s">
        <v>996</v>
      </c>
      <c r="F818" s="42" t="s">
        <v>50</v>
      </c>
      <c r="G818" s="53">
        <f>G819</f>
        <v>1063.0170000000001</v>
      </c>
      <c r="H818" s="111"/>
      <c r="I818" s="112"/>
      <c r="J818" s="111"/>
      <c r="K818" s="76"/>
      <c r="L818" s="75"/>
      <c r="M818" s="75"/>
      <c r="AG818" s="75"/>
      <c r="AH818" s="75"/>
    </row>
    <row r="819" spans="1:110" ht="37.5" x14ac:dyDescent="0.3">
      <c r="A819" s="138" t="s">
        <v>425</v>
      </c>
      <c r="B819" s="54">
        <v>936</v>
      </c>
      <c r="C819" s="12" t="s">
        <v>121</v>
      </c>
      <c r="D819" s="12" t="s">
        <v>128</v>
      </c>
      <c r="E819" s="42" t="s">
        <v>996</v>
      </c>
      <c r="F819" s="42" t="s">
        <v>59</v>
      </c>
      <c r="G819" s="53">
        <f>CU819+DF819</f>
        <v>1063.0170000000001</v>
      </c>
      <c r="H819" s="111"/>
      <c r="I819" s="112"/>
      <c r="J819" s="111"/>
      <c r="K819" s="76"/>
      <c r="L819" s="75"/>
      <c r="M819" s="75">
        <v>139.03800000000001</v>
      </c>
      <c r="AC819">
        <v>-39.214739999999999</v>
      </c>
      <c r="AG819" s="75"/>
      <c r="AH819" s="75"/>
      <c r="AK819" s="75">
        <v>0</v>
      </c>
      <c r="CU819" s="250">
        <v>1414.817</v>
      </c>
      <c r="DF819" s="187">
        <v>-351.8</v>
      </c>
    </row>
    <row r="820" spans="1:110" ht="131.25" x14ac:dyDescent="0.3">
      <c r="A820" s="138" t="s">
        <v>1123</v>
      </c>
      <c r="B820" s="54">
        <v>936</v>
      </c>
      <c r="C820" s="12" t="s">
        <v>121</v>
      </c>
      <c r="D820" s="12" t="s">
        <v>128</v>
      </c>
      <c r="E820" s="42" t="s">
        <v>997</v>
      </c>
      <c r="F820" s="42" t="s">
        <v>50</v>
      </c>
      <c r="G820" s="53">
        <f>G821</f>
        <v>46.41</v>
      </c>
      <c r="H820" s="111"/>
      <c r="I820" s="112"/>
      <c r="J820" s="111"/>
      <c r="K820" s="76"/>
      <c r="L820" s="75"/>
      <c r="M820" s="75"/>
      <c r="AG820" s="75"/>
      <c r="AH820" s="75"/>
    </row>
    <row r="821" spans="1:110" ht="37.5" x14ac:dyDescent="0.3">
      <c r="A821" s="138" t="s">
        <v>425</v>
      </c>
      <c r="B821" s="54">
        <v>936</v>
      </c>
      <c r="C821" s="12" t="s">
        <v>121</v>
      </c>
      <c r="D821" s="12" t="s">
        <v>128</v>
      </c>
      <c r="E821" s="42" t="s">
        <v>997</v>
      </c>
      <c r="F821" s="42" t="s">
        <v>59</v>
      </c>
      <c r="G821" s="53">
        <f>CU821+DF821</f>
        <v>46.41</v>
      </c>
      <c r="H821" s="111"/>
      <c r="I821" s="112"/>
      <c r="J821" s="111"/>
      <c r="K821" s="76"/>
      <c r="L821" s="75"/>
      <c r="M821" s="75">
        <v>126.07599999999999</v>
      </c>
      <c r="AG821" s="75"/>
      <c r="AH821" s="75"/>
      <c r="AK821" s="75">
        <v>0</v>
      </c>
      <c r="CU821" s="250">
        <v>57.51</v>
      </c>
      <c r="DF821" s="187">
        <v>-11.1</v>
      </c>
    </row>
    <row r="822" spans="1:110" ht="93.75" x14ac:dyDescent="0.3">
      <c r="A822" s="138" t="s">
        <v>1124</v>
      </c>
      <c r="B822" s="54">
        <v>936</v>
      </c>
      <c r="C822" s="12" t="s">
        <v>121</v>
      </c>
      <c r="D822" s="12" t="s">
        <v>128</v>
      </c>
      <c r="E822" s="42" t="s">
        <v>998</v>
      </c>
      <c r="F822" s="42" t="s">
        <v>50</v>
      </c>
      <c r="G822" s="53">
        <f>G823</f>
        <v>4010.4559999999997</v>
      </c>
      <c r="H822" s="111"/>
      <c r="I822" s="112"/>
      <c r="J822" s="111"/>
      <c r="K822" s="76"/>
      <c r="L822" s="75"/>
      <c r="M822" s="75"/>
      <c r="AG822" s="75"/>
      <c r="AH822" s="75"/>
    </row>
    <row r="823" spans="1:110" ht="37.5" x14ac:dyDescent="0.3">
      <c r="A823" s="138" t="s">
        <v>425</v>
      </c>
      <c r="B823" s="54">
        <v>936</v>
      </c>
      <c r="C823" s="12" t="s">
        <v>121</v>
      </c>
      <c r="D823" s="12" t="s">
        <v>128</v>
      </c>
      <c r="E823" s="42" t="s">
        <v>998</v>
      </c>
      <c r="F823" s="42" t="s">
        <v>59</v>
      </c>
      <c r="G823" s="53">
        <f>CU823+DF823</f>
        <v>4010.4559999999997</v>
      </c>
      <c r="H823" s="111"/>
      <c r="I823" s="112"/>
      <c r="J823" s="111"/>
      <c r="K823" s="76"/>
      <c r="L823" s="75"/>
      <c r="M823" s="75">
        <v>115.376</v>
      </c>
      <c r="AG823" s="75"/>
      <c r="AH823" s="75"/>
      <c r="AK823" s="75">
        <v>0</v>
      </c>
      <c r="CU823" s="250">
        <v>4501.8559999999998</v>
      </c>
      <c r="DF823" s="187">
        <v>-491.4</v>
      </c>
    </row>
    <row r="824" spans="1:110" ht="93.75" x14ac:dyDescent="0.3">
      <c r="A824" s="138" t="s">
        <v>1113</v>
      </c>
      <c r="B824" s="54">
        <v>936</v>
      </c>
      <c r="C824" s="12" t="s">
        <v>121</v>
      </c>
      <c r="D824" s="12" t="s">
        <v>128</v>
      </c>
      <c r="E824" s="42" t="s">
        <v>999</v>
      </c>
      <c r="F824" s="42" t="s">
        <v>50</v>
      </c>
      <c r="G824" s="53">
        <f>G825</f>
        <v>125.01999999999998</v>
      </c>
      <c r="H824" s="111"/>
      <c r="I824" s="112"/>
      <c r="J824" s="111"/>
      <c r="K824" s="76"/>
      <c r="L824" s="75"/>
      <c r="M824" s="75"/>
      <c r="AG824" s="75"/>
      <c r="AH824" s="75"/>
    </row>
    <row r="825" spans="1:110" ht="37.5" x14ac:dyDescent="0.3">
      <c r="A825" s="138" t="s">
        <v>425</v>
      </c>
      <c r="B825" s="54">
        <v>936</v>
      </c>
      <c r="C825" s="12" t="s">
        <v>121</v>
      </c>
      <c r="D825" s="12" t="s">
        <v>128</v>
      </c>
      <c r="E825" s="42" t="s">
        <v>999</v>
      </c>
      <c r="F825" s="42" t="s">
        <v>59</v>
      </c>
      <c r="G825" s="53">
        <f>CU825+DF825</f>
        <v>125.01999999999998</v>
      </c>
      <c r="H825" s="111"/>
      <c r="I825" s="112"/>
      <c r="J825" s="111"/>
      <c r="K825" s="76"/>
      <c r="L825" s="75"/>
      <c r="M825" s="75"/>
      <c r="AG825" s="75"/>
      <c r="AH825" s="75"/>
      <c r="CU825" s="250">
        <v>160.91999999999999</v>
      </c>
      <c r="DF825" s="187">
        <v>-35.9</v>
      </c>
    </row>
    <row r="826" spans="1:110" ht="112.5" x14ac:dyDescent="0.3">
      <c r="A826" s="138" t="s">
        <v>1125</v>
      </c>
      <c r="B826" s="54">
        <v>936</v>
      </c>
      <c r="C826" s="12" t="s">
        <v>121</v>
      </c>
      <c r="D826" s="12" t="s">
        <v>128</v>
      </c>
      <c r="E826" s="42" t="s">
        <v>1000</v>
      </c>
      <c r="F826" s="42" t="s">
        <v>50</v>
      </c>
      <c r="G826" s="53">
        <f>G827</f>
        <v>139.6</v>
      </c>
      <c r="H826" s="111"/>
      <c r="I826" s="112"/>
      <c r="J826" s="111"/>
      <c r="K826" s="76"/>
      <c r="L826" s="75"/>
      <c r="M826" s="75"/>
      <c r="AG826" s="75"/>
      <c r="AH826" s="75"/>
    </row>
    <row r="827" spans="1:110" ht="37.5" x14ac:dyDescent="0.3">
      <c r="A827" s="138" t="s">
        <v>425</v>
      </c>
      <c r="B827" s="54">
        <v>936</v>
      </c>
      <c r="C827" s="12" t="s">
        <v>121</v>
      </c>
      <c r="D827" s="12" t="s">
        <v>128</v>
      </c>
      <c r="E827" s="42" t="s">
        <v>1000</v>
      </c>
      <c r="F827" s="42" t="s">
        <v>59</v>
      </c>
      <c r="G827" s="53">
        <f>CU827+DF827</f>
        <v>139.6</v>
      </c>
      <c r="H827" s="111"/>
      <c r="I827" s="112"/>
      <c r="J827" s="111"/>
      <c r="K827" s="76"/>
      <c r="L827" s="75"/>
      <c r="M827" s="75"/>
      <c r="AG827" s="75"/>
      <c r="AH827" s="75"/>
      <c r="CB827" s="218">
        <v>89.498000000000005</v>
      </c>
      <c r="CU827" s="250">
        <v>140</v>
      </c>
      <c r="DF827" s="187">
        <v>-0.4</v>
      </c>
    </row>
    <row r="828" spans="1:110" ht="112.5" x14ac:dyDescent="0.3">
      <c r="A828" s="138" t="s">
        <v>1126</v>
      </c>
      <c r="B828" s="54">
        <v>936</v>
      </c>
      <c r="C828" s="12" t="s">
        <v>121</v>
      </c>
      <c r="D828" s="12" t="s">
        <v>128</v>
      </c>
      <c r="E828" s="42" t="s">
        <v>1001</v>
      </c>
      <c r="F828" s="42" t="s">
        <v>50</v>
      </c>
      <c r="G828" s="53">
        <f>G829</f>
        <v>225.4</v>
      </c>
      <c r="H828" s="111"/>
      <c r="I828" s="112"/>
      <c r="J828" s="111"/>
      <c r="K828" s="76"/>
      <c r="L828" s="75"/>
      <c r="M828" s="75"/>
      <c r="AG828" s="75"/>
      <c r="AH828" s="75"/>
    </row>
    <row r="829" spans="1:110" ht="37.5" x14ac:dyDescent="0.3">
      <c r="A829" s="138" t="s">
        <v>425</v>
      </c>
      <c r="B829" s="54">
        <v>936</v>
      </c>
      <c r="C829" s="12" t="s">
        <v>121</v>
      </c>
      <c r="D829" s="12" t="s">
        <v>128</v>
      </c>
      <c r="E829" s="42" t="s">
        <v>1001</v>
      </c>
      <c r="F829" s="42" t="s">
        <v>59</v>
      </c>
      <c r="G829" s="53">
        <f>CU829+DF829</f>
        <v>225.4</v>
      </c>
      <c r="H829" s="111"/>
      <c r="I829" s="112"/>
      <c r="J829" s="111"/>
      <c r="K829" s="76"/>
      <c r="L829" s="75"/>
      <c r="M829" s="75"/>
      <c r="AG829" s="75"/>
      <c r="AH829" s="75"/>
      <c r="CF829" s="187">
        <v>128.09</v>
      </c>
      <c r="CU829" s="250">
        <v>226</v>
      </c>
      <c r="DF829" s="187">
        <v>-0.6</v>
      </c>
    </row>
    <row r="830" spans="1:110" ht="105.75" customHeight="1" x14ac:dyDescent="0.3">
      <c r="A830" s="138" t="s">
        <v>900</v>
      </c>
      <c r="B830" s="54">
        <v>936</v>
      </c>
      <c r="C830" s="12" t="s">
        <v>121</v>
      </c>
      <c r="D830" s="12" t="s">
        <v>128</v>
      </c>
      <c r="E830" s="42" t="s">
        <v>1138</v>
      </c>
      <c r="F830" s="42" t="s">
        <v>50</v>
      </c>
      <c r="G830" s="53">
        <f>G831</f>
        <v>1029.75</v>
      </c>
      <c r="H830" s="111"/>
      <c r="I830" s="112"/>
      <c r="J830" s="111"/>
      <c r="K830" s="76"/>
      <c r="L830" s="75"/>
      <c r="M830" s="75"/>
      <c r="AG830" s="75"/>
      <c r="AH830" s="75"/>
    </row>
    <row r="831" spans="1:110" ht="37.5" x14ac:dyDescent="0.3">
      <c r="A831" s="138" t="s">
        <v>425</v>
      </c>
      <c r="B831" s="54">
        <v>936</v>
      </c>
      <c r="C831" s="12" t="s">
        <v>121</v>
      </c>
      <c r="D831" s="12" t="s">
        <v>128</v>
      </c>
      <c r="E831" s="42" t="s">
        <v>1138</v>
      </c>
      <c r="F831" s="42" t="s">
        <v>59</v>
      </c>
      <c r="G831" s="53">
        <f>CV831+DC831</f>
        <v>1029.75</v>
      </c>
      <c r="H831" s="111"/>
      <c r="I831" s="112"/>
      <c r="J831" s="111"/>
      <c r="K831" s="76"/>
      <c r="L831" s="75"/>
      <c r="M831" s="75"/>
      <c r="AG831" s="75"/>
      <c r="AH831" s="75"/>
      <c r="CV831" s="259">
        <v>892</v>
      </c>
      <c r="DC831" s="187">
        <v>137.75</v>
      </c>
    </row>
    <row r="832" spans="1:110" x14ac:dyDescent="0.3">
      <c r="A832" s="138" t="s">
        <v>62</v>
      </c>
      <c r="B832" s="11">
        <v>936</v>
      </c>
      <c r="C832" s="12" t="s">
        <v>121</v>
      </c>
      <c r="D832" s="12" t="s">
        <v>128</v>
      </c>
      <c r="E832" s="12" t="s">
        <v>251</v>
      </c>
      <c r="F832" s="12" t="s">
        <v>50</v>
      </c>
      <c r="G832" s="53">
        <f>G833+G835+G837+G839+G841+G843+G845+G847+G858+G860+G849+G851</f>
        <v>3572.2910000000002</v>
      </c>
      <c r="H832" s="111"/>
      <c r="I832" s="112"/>
      <c r="J832" s="111"/>
      <c r="K832" s="76"/>
      <c r="L832" s="75"/>
      <c r="M832" s="75"/>
      <c r="AG832" s="75"/>
      <c r="AH832" s="75"/>
    </row>
    <row r="833" spans="1:99" ht="75.95" customHeight="1" x14ac:dyDescent="0.3">
      <c r="A833" s="138" t="s">
        <v>1127</v>
      </c>
      <c r="B833" s="54">
        <v>936</v>
      </c>
      <c r="C833" s="12" t="s">
        <v>121</v>
      </c>
      <c r="D833" s="12" t="s">
        <v>128</v>
      </c>
      <c r="E833" s="12" t="s">
        <v>827</v>
      </c>
      <c r="F833" s="42" t="s">
        <v>50</v>
      </c>
      <c r="G833" s="53">
        <f>G834</f>
        <v>230</v>
      </c>
      <c r="H833" s="111"/>
      <c r="I833" s="112"/>
      <c r="J833" s="111"/>
      <c r="K833" s="76"/>
      <c r="L833" s="75"/>
      <c r="M833" s="75"/>
      <c r="AG833" s="75"/>
      <c r="AH833" s="75"/>
    </row>
    <row r="834" spans="1:99" ht="37.5" x14ac:dyDescent="0.3">
      <c r="A834" s="138" t="s">
        <v>425</v>
      </c>
      <c r="B834" s="54">
        <v>936</v>
      </c>
      <c r="C834" s="12" t="s">
        <v>121</v>
      </c>
      <c r="D834" s="12" t="s">
        <v>128</v>
      </c>
      <c r="E834" s="12" t="s">
        <v>827</v>
      </c>
      <c r="F834" s="42" t="s">
        <v>59</v>
      </c>
      <c r="G834" s="53">
        <f>CU834</f>
        <v>230</v>
      </c>
      <c r="H834" s="111"/>
      <c r="I834" s="112"/>
      <c r="J834" s="111"/>
      <c r="K834" s="76"/>
      <c r="L834" s="75"/>
      <c r="M834" s="75">
        <v>169</v>
      </c>
      <c r="AG834" s="75"/>
      <c r="AH834" s="75"/>
      <c r="AK834" s="75">
        <v>0</v>
      </c>
      <c r="AQ834" s="146">
        <v>460</v>
      </c>
      <c r="CU834" s="250">
        <v>230</v>
      </c>
    </row>
    <row r="835" spans="1:99" ht="112.5" x14ac:dyDescent="0.3">
      <c r="A835" s="138" t="s">
        <v>1077</v>
      </c>
      <c r="B835" s="54">
        <v>936</v>
      </c>
      <c r="C835" s="12" t="s">
        <v>121</v>
      </c>
      <c r="D835" s="12" t="s">
        <v>128</v>
      </c>
      <c r="E835" s="12" t="s">
        <v>1006</v>
      </c>
      <c r="F835" s="42" t="s">
        <v>50</v>
      </c>
      <c r="G835" s="53">
        <f>G836</f>
        <v>400</v>
      </c>
      <c r="H835" s="111"/>
      <c r="I835" s="112"/>
      <c r="J835" s="111"/>
      <c r="K835" s="76"/>
      <c r="L835" s="75"/>
      <c r="M835" s="75"/>
      <c r="AG835" s="75"/>
      <c r="AH835" s="75"/>
    </row>
    <row r="836" spans="1:99" ht="37.5" x14ac:dyDescent="0.3">
      <c r="A836" s="138" t="s">
        <v>425</v>
      </c>
      <c r="B836" s="54">
        <v>936</v>
      </c>
      <c r="C836" s="12" t="s">
        <v>121</v>
      </c>
      <c r="D836" s="12" t="s">
        <v>128</v>
      </c>
      <c r="E836" s="12" t="s">
        <v>1006</v>
      </c>
      <c r="F836" s="42" t="s">
        <v>59</v>
      </c>
      <c r="G836" s="53">
        <f>CU836</f>
        <v>400</v>
      </c>
      <c r="H836" s="111"/>
      <c r="I836" s="112"/>
      <c r="J836" s="111"/>
      <c r="K836" s="76"/>
      <c r="L836" s="75"/>
      <c r="M836" s="75">
        <v>296</v>
      </c>
      <c r="AG836" s="75"/>
      <c r="AH836" s="75"/>
      <c r="AK836" s="75">
        <v>0</v>
      </c>
      <c r="AQ836" s="146">
        <v>550</v>
      </c>
      <c r="CU836" s="250">
        <v>400</v>
      </c>
    </row>
    <row r="837" spans="1:99" ht="75" x14ac:dyDescent="0.3">
      <c r="A837" s="138" t="s">
        <v>1078</v>
      </c>
      <c r="B837" s="54">
        <v>936</v>
      </c>
      <c r="C837" s="12" t="s">
        <v>121</v>
      </c>
      <c r="D837" s="12" t="s">
        <v>128</v>
      </c>
      <c r="E837" s="42" t="s">
        <v>1007</v>
      </c>
      <c r="F837" s="42" t="s">
        <v>50</v>
      </c>
      <c r="G837" s="53">
        <f>G838</f>
        <v>305</v>
      </c>
      <c r="H837" s="111"/>
      <c r="I837" s="112"/>
      <c r="J837" s="111"/>
      <c r="K837" s="76"/>
      <c r="L837" s="75"/>
      <c r="M837" s="75"/>
      <c r="AG837" s="75"/>
      <c r="AH837" s="75"/>
    </row>
    <row r="838" spans="1:99" ht="37.5" x14ac:dyDescent="0.3">
      <c r="A838" s="138" t="s">
        <v>425</v>
      </c>
      <c r="B838" s="54">
        <v>936</v>
      </c>
      <c r="C838" s="12" t="s">
        <v>121</v>
      </c>
      <c r="D838" s="12" t="s">
        <v>128</v>
      </c>
      <c r="E838" s="42" t="s">
        <v>1007</v>
      </c>
      <c r="F838" s="42" t="s">
        <v>59</v>
      </c>
      <c r="G838" s="53">
        <f>CU838</f>
        <v>305</v>
      </c>
      <c r="H838" s="111"/>
      <c r="I838" s="112"/>
      <c r="J838" s="111"/>
      <c r="K838" s="76"/>
      <c r="L838" s="75"/>
      <c r="M838" s="75">
        <v>208</v>
      </c>
      <c r="AG838" s="75"/>
      <c r="AH838" s="75"/>
      <c r="AK838" s="75">
        <v>0</v>
      </c>
      <c r="AQ838" s="146">
        <v>225</v>
      </c>
      <c r="CU838" s="250">
        <v>305</v>
      </c>
    </row>
    <row r="839" spans="1:99" ht="112.5" x14ac:dyDescent="0.3">
      <c r="A839" s="138" t="s">
        <v>1128</v>
      </c>
      <c r="B839" s="54">
        <v>936</v>
      </c>
      <c r="C839" s="12" t="s">
        <v>121</v>
      </c>
      <c r="D839" s="12" t="s">
        <v>128</v>
      </c>
      <c r="E839" s="42" t="s">
        <v>1008</v>
      </c>
      <c r="F839" s="42" t="s">
        <v>50</v>
      </c>
      <c r="G839" s="53">
        <f>G840</f>
        <v>357</v>
      </c>
      <c r="H839" s="111"/>
      <c r="I839" s="112"/>
      <c r="J839" s="111"/>
      <c r="K839" s="76"/>
      <c r="L839" s="75"/>
      <c r="M839" s="75"/>
      <c r="AG839" s="75"/>
      <c r="AH839" s="75"/>
    </row>
    <row r="840" spans="1:99" ht="37.5" x14ac:dyDescent="0.3">
      <c r="A840" s="138" t="s">
        <v>425</v>
      </c>
      <c r="B840" s="54">
        <v>936</v>
      </c>
      <c r="C840" s="12" t="s">
        <v>121</v>
      </c>
      <c r="D840" s="12" t="s">
        <v>128</v>
      </c>
      <c r="E840" s="42" t="s">
        <v>1008</v>
      </c>
      <c r="F840" s="42" t="s">
        <v>59</v>
      </c>
      <c r="G840" s="53">
        <f>CU840</f>
        <v>357</v>
      </c>
      <c r="H840" s="111"/>
      <c r="I840" s="112"/>
      <c r="J840" s="111"/>
      <c r="K840" s="76"/>
      <c r="L840" s="75"/>
      <c r="M840" s="75">
        <v>170</v>
      </c>
      <c r="AG840" s="75"/>
      <c r="AH840" s="75"/>
      <c r="AK840" s="75">
        <v>0</v>
      </c>
      <c r="AS840" s="187">
        <v>137.184</v>
      </c>
      <c r="CU840" s="250">
        <v>357</v>
      </c>
    </row>
    <row r="841" spans="1:99" ht="93.75" x14ac:dyDescent="0.3">
      <c r="A841" s="138" t="s">
        <v>1080</v>
      </c>
      <c r="B841" s="54">
        <v>936</v>
      </c>
      <c r="C841" s="12" t="s">
        <v>121</v>
      </c>
      <c r="D841" s="12" t="s">
        <v>128</v>
      </c>
      <c r="E841" s="42" t="s">
        <v>1009</v>
      </c>
      <c r="F841" s="42" t="s">
        <v>50</v>
      </c>
      <c r="G841" s="53">
        <f>G842</f>
        <v>326</v>
      </c>
      <c r="H841" s="111"/>
      <c r="I841" s="112"/>
      <c r="J841" s="111"/>
      <c r="K841" s="76"/>
      <c r="L841" s="75"/>
      <c r="M841" s="75"/>
      <c r="AG841" s="75"/>
      <c r="AH841" s="75"/>
    </row>
    <row r="842" spans="1:99" ht="37.5" x14ac:dyDescent="0.3">
      <c r="A842" s="138" t="s">
        <v>425</v>
      </c>
      <c r="B842" s="54">
        <v>936</v>
      </c>
      <c r="C842" s="12" t="s">
        <v>121</v>
      </c>
      <c r="D842" s="12" t="s">
        <v>128</v>
      </c>
      <c r="E842" s="42" t="s">
        <v>1009</v>
      </c>
      <c r="F842" s="42" t="s">
        <v>59</v>
      </c>
      <c r="G842" s="53">
        <f>CU842</f>
        <v>326</v>
      </c>
      <c r="H842" s="111"/>
      <c r="I842" s="112"/>
      <c r="J842" s="111"/>
      <c r="K842" s="76"/>
      <c r="L842" s="75"/>
      <c r="M842" s="75">
        <v>185</v>
      </c>
      <c r="AG842" s="75"/>
      <c r="AH842" s="75"/>
      <c r="AK842" s="75">
        <v>0</v>
      </c>
      <c r="CU842" s="250">
        <v>326</v>
      </c>
    </row>
    <row r="843" spans="1:99" ht="112.5" x14ac:dyDescent="0.3">
      <c r="A843" s="138" t="s">
        <v>1129</v>
      </c>
      <c r="B843" s="54">
        <v>936</v>
      </c>
      <c r="C843" s="12" t="s">
        <v>121</v>
      </c>
      <c r="D843" s="12" t="s">
        <v>128</v>
      </c>
      <c r="E843" s="42" t="s">
        <v>1010</v>
      </c>
      <c r="F843" s="42" t="s">
        <v>50</v>
      </c>
      <c r="G843" s="53">
        <f>G844</f>
        <v>141</v>
      </c>
      <c r="H843" s="111"/>
      <c r="I843" s="112"/>
      <c r="J843" s="111"/>
      <c r="K843" s="76"/>
      <c r="L843" s="75"/>
      <c r="M843" s="75"/>
      <c r="AG843" s="75"/>
      <c r="AH843" s="75"/>
    </row>
    <row r="844" spans="1:99" ht="37.5" x14ac:dyDescent="0.3">
      <c r="A844" s="138" t="s">
        <v>425</v>
      </c>
      <c r="B844" s="54">
        <v>936</v>
      </c>
      <c r="C844" s="12" t="s">
        <v>121</v>
      </c>
      <c r="D844" s="12" t="s">
        <v>128</v>
      </c>
      <c r="E844" s="42" t="s">
        <v>1010</v>
      </c>
      <c r="F844" s="42" t="s">
        <v>59</v>
      </c>
      <c r="G844" s="53">
        <f>CU844</f>
        <v>141</v>
      </c>
      <c r="H844" s="111"/>
      <c r="I844" s="112"/>
      <c r="J844" s="111"/>
      <c r="K844" s="76"/>
      <c r="L844" s="75"/>
      <c r="M844" s="75">
        <v>203</v>
      </c>
      <c r="AG844" s="75"/>
      <c r="AH844" s="75"/>
      <c r="AK844" s="75">
        <v>0</v>
      </c>
      <c r="CU844" s="250">
        <v>141</v>
      </c>
    </row>
    <row r="845" spans="1:99" ht="56.25" x14ac:dyDescent="0.3">
      <c r="A845" s="138" t="s">
        <v>1082</v>
      </c>
      <c r="B845" s="54">
        <v>936</v>
      </c>
      <c r="C845" s="12" t="s">
        <v>121</v>
      </c>
      <c r="D845" s="12" t="s">
        <v>128</v>
      </c>
      <c r="E845" s="42" t="s">
        <v>1011</v>
      </c>
      <c r="F845" s="42" t="s">
        <v>50</v>
      </c>
      <c r="G845" s="53">
        <f>G846</f>
        <v>843</v>
      </c>
      <c r="H845" s="111"/>
      <c r="I845" s="112"/>
      <c r="J845" s="111"/>
      <c r="K845" s="76"/>
      <c r="L845" s="75"/>
      <c r="M845" s="75"/>
      <c r="AG845" s="75"/>
      <c r="AH845" s="75"/>
    </row>
    <row r="846" spans="1:99" ht="37.5" x14ac:dyDescent="0.3">
      <c r="A846" s="138" t="s">
        <v>425</v>
      </c>
      <c r="B846" s="54">
        <v>936</v>
      </c>
      <c r="C846" s="12" t="s">
        <v>121</v>
      </c>
      <c r="D846" s="12" t="s">
        <v>128</v>
      </c>
      <c r="E846" s="42" t="s">
        <v>1011</v>
      </c>
      <c r="F846" s="42" t="s">
        <v>59</v>
      </c>
      <c r="G846" s="53">
        <f>CU846</f>
        <v>843</v>
      </c>
      <c r="H846" s="111"/>
      <c r="I846" s="112"/>
      <c r="J846" s="111"/>
      <c r="K846" s="76"/>
      <c r="L846" s="75"/>
      <c r="M846" s="75">
        <v>236</v>
      </c>
      <c r="AG846" s="75"/>
      <c r="AH846" s="75"/>
      <c r="AK846" s="75">
        <v>0</v>
      </c>
      <c r="CU846" s="250">
        <v>843</v>
      </c>
    </row>
    <row r="847" spans="1:99" ht="75" x14ac:dyDescent="0.3">
      <c r="A847" s="138" t="s">
        <v>1083</v>
      </c>
      <c r="B847" s="54">
        <v>936</v>
      </c>
      <c r="C847" s="12" t="s">
        <v>121</v>
      </c>
      <c r="D847" s="12" t="s">
        <v>128</v>
      </c>
      <c r="E847" s="42" t="s">
        <v>1012</v>
      </c>
      <c r="F847" s="42" t="s">
        <v>50</v>
      </c>
      <c r="G847" s="53">
        <f>G848</f>
        <v>185</v>
      </c>
      <c r="H847" s="111"/>
      <c r="I847" s="112"/>
      <c r="J847" s="111"/>
      <c r="K847" s="76"/>
      <c r="L847" s="75"/>
      <c r="M847" s="75"/>
      <c r="AG847" s="75"/>
      <c r="AH847" s="75"/>
    </row>
    <row r="848" spans="1:99" ht="37.5" x14ac:dyDescent="0.3">
      <c r="A848" s="138" t="s">
        <v>425</v>
      </c>
      <c r="B848" s="54">
        <v>936</v>
      </c>
      <c r="C848" s="12" t="s">
        <v>121</v>
      </c>
      <c r="D848" s="12" t="s">
        <v>128</v>
      </c>
      <c r="E848" s="42" t="s">
        <v>1012</v>
      </c>
      <c r="F848" s="42" t="s">
        <v>59</v>
      </c>
      <c r="G848" s="53">
        <f>CU848</f>
        <v>185</v>
      </c>
      <c r="H848" s="111"/>
      <c r="I848" s="112"/>
      <c r="J848" s="111"/>
      <c r="K848" s="76"/>
      <c r="L848" s="75"/>
      <c r="M848" s="75"/>
      <c r="AG848" s="75"/>
      <c r="AH848" s="75"/>
      <c r="CU848" s="250">
        <v>185</v>
      </c>
    </row>
    <row r="849" spans="1:99" ht="93.75" x14ac:dyDescent="0.3">
      <c r="A849" s="138" t="s">
        <v>1084</v>
      </c>
      <c r="B849" s="54">
        <v>936</v>
      </c>
      <c r="C849" s="12" t="s">
        <v>121</v>
      </c>
      <c r="D849" s="12" t="s">
        <v>128</v>
      </c>
      <c r="E849" s="42" t="s">
        <v>1013</v>
      </c>
      <c r="F849" s="42" t="s">
        <v>50</v>
      </c>
      <c r="G849" s="53">
        <f>G850</f>
        <v>253.10499999999999</v>
      </c>
      <c r="H849" s="111"/>
      <c r="I849" s="112"/>
      <c r="J849" s="111"/>
      <c r="K849" s="76"/>
      <c r="L849" s="75"/>
      <c r="M849" s="75"/>
      <c r="AG849" s="75"/>
      <c r="AH849" s="75"/>
    </row>
    <row r="850" spans="1:99" ht="37.5" x14ac:dyDescent="0.3">
      <c r="A850" s="138" t="s">
        <v>425</v>
      </c>
      <c r="B850" s="54">
        <v>936</v>
      </c>
      <c r="C850" s="12" t="s">
        <v>121</v>
      </c>
      <c r="D850" s="12" t="s">
        <v>128</v>
      </c>
      <c r="E850" s="42" t="s">
        <v>1013</v>
      </c>
      <c r="F850" s="42" t="s">
        <v>59</v>
      </c>
      <c r="G850" s="53">
        <f>CU850</f>
        <v>253.10499999999999</v>
      </c>
      <c r="H850" s="111"/>
      <c r="I850" s="112"/>
      <c r="J850" s="111"/>
      <c r="K850" s="76"/>
      <c r="L850" s="75"/>
      <c r="M850" s="75"/>
      <c r="AG850" s="75"/>
      <c r="AH850" s="75"/>
      <c r="CU850" s="250">
        <v>253.10499999999999</v>
      </c>
    </row>
    <row r="851" spans="1:99" ht="75" x14ac:dyDescent="0.3">
      <c r="A851" s="138" t="s">
        <v>1085</v>
      </c>
      <c r="B851" s="54">
        <v>936</v>
      </c>
      <c r="C851" s="12" t="s">
        <v>121</v>
      </c>
      <c r="D851" s="12" t="s">
        <v>128</v>
      </c>
      <c r="E851" s="42" t="s">
        <v>1014</v>
      </c>
      <c r="F851" s="42" t="s">
        <v>50</v>
      </c>
      <c r="G851" s="53">
        <f>G852</f>
        <v>532.18600000000004</v>
      </c>
      <c r="H851" s="111"/>
      <c r="I851" s="112"/>
      <c r="J851" s="111"/>
      <c r="K851" s="76"/>
      <c r="L851" s="75"/>
      <c r="M851" s="75"/>
      <c r="AG851" s="75"/>
      <c r="AH851" s="75"/>
    </row>
    <row r="852" spans="1:99" ht="37.5" x14ac:dyDescent="0.3">
      <c r="A852" s="138" t="s">
        <v>425</v>
      </c>
      <c r="B852" s="54">
        <v>936</v>
      </c>
      <c r="C852" s="12" t="s">
        <v>121</v>
      </c>
      <c r="D852" s="12" t="s">
        <v>128</v>
      </c>
      <c r="E852" s="42" t="s">
        <v>1014</v>
      </c>
      <c r="F852" s="42" t="s">
        <v>59</v>
      </c>
      <c r="G852" s="53">
        <f>CU852</f>
        <v>532.18600000000004</v>
      </c>
      <c r="H852" s="111"/>
      <c r="I852" s="112"/>
      <c r="J852" s="111"/>
      <c r="K852" s="76"/>
      <c r="L852" s="75"/>
      <c r="M852" s="75"/>
      <c r="AG852" s="75"/>
      <c r="AH852" s="75"/>
      <c r="CU852" s="250">
        <v>532.18600000000004</v>
      </c>
    </row>
    <row r="853" spans="1:99" ht="44.25" hidden="1" customHeight="1" x14ac:dyDescent="0.3">
      <c r="A853" s="151" t="s">
        <v>12</v>
      </c>
      <c r="B853" s="11">
        <v>936</v>
      </c>
      <c r="C853" s="12" t="s">
        <v>121</v>
      </c>
      <c r="D853" s="12" t="s">
        <v>128</v>
      </c>
      <c r="E853" s="13" t="s">
        <v>102</v>
      </c>
      <c r="F853" s="12" t="s">
        <v>50</v>
      </c>
      <c r="G853" s="53">
        <f>G854</f>
        <v>0</v>
      </c>
      <c r="H853" s="111"/>
      <c r="I853" s="112"/>
      <c r="J853" s="111"/>
      <c r="K853" s="76"/>
      <c r="L853" s="75"/>
      <c r="M853" s="75"/>
      <c r="AG853" s="75"/>
      <c r="AH853" s="75"/>
      <c r="AK853" s="75">
        <v>0</v>
      </c>
    </row>
    <row r="854" spans="1:99" ht="37.5" hidden="1" x14ac:dyDescent="0.3">
      <c r="A854" s="176" t="s">
        <v>401</v>
      </c>
      <c r="B854" s="47">
        <v>936</v>
      </c>
      <c r="C854" s="12" t="s">
        <v>121</v>
      </c>
      <c r="D854" s="12" t="s">
        <v>128</v>
      </c>
      <c r="E854" s="42" t="s">
        <v>353</v>
      </c>
      <c r="F854" s="18" t="s">
        <v>50</v>
      </c>
      <c r="G854" s="53">
        <f>G855</f>
        <v>0</v>
      </c>
      <c r="H854" s="111"/>
      <c r="I854" s="112"/>
      <c r="J854" s="111"/>
      <c r="K854" s="76"/>
      <c r="L854" s="75"/>
      <c r="M854" s="75"/>
      <c r="AG854" s="75"/>
      <c r="AH854" s="75"/>
    </row>
    <row r="855" spans="1:99" ht="37.5" hidden="1" x14ac:dyDescent="0.3">
      <c r="A855" s="176" t="s">
        <v>402</v>
      </c>
      <c r="B855" s="47">
        <v>936</v>
      </c>
      <c r="C855" s="12" t="s">
        <v>121</v>
      </c>
      <c r="D855" s="12" t="s">
        <v>128</v>
      </c>
      <c r="E855" s="42" t="s">
        <v>354</v>
      </c>
      <c r="F855" s="18" t="s">
        <v>50</v>
      </c>
      <c r="G855" s="53">
        <f>G856</f>
        <v>0</v>
      </c>
      <c r="H855" s="111"/>
      <c r="I855" s="112"/>
      <c r="J855" s="111"/>
      <c r="K855" s="76"/>
      <c r="L855" s="75"/>
      <c r="M855" s="75"/>
      <c r="AG855" s="75"/>
      <c r="AH855" s="75"/>
    </row>
    <row r="856" spans="1:99" ht="37.5" hidden="1" x14ac:dyDescent="0.3">
      <c r="A856" s="158" t="s">
        <v>352</v>
      </c>
      <c r="B856" s="47">
        <v>936</v>
      </c>
      <c r="C856" s="12" t="s">
        <v>121</v>
      </c>
      <c r="D856" s="12" t="s">
        <v>128</v>
      </c>
      <c r="E856" s="42" t="s">
        <v>355</v>
      </c>
      <c r="F856" s="42" t="s">
        <v>50</v>
      </c>
      <c r="G856" s="53">
        <f>G857</f>
        <v>0</v>
      </c>
      <c r="H856" s="111"/>
      <c r="I856" s="112"/>
      <c r="J856" s="111"/>
      <c r="K856" s="76"/>
      <c r="L856" s="75"/>
      <c r="M856" s="75"/>
      <c r="AG856" s="75"/>
      <c r="AH856" s="75"/>
    </row>
    <row r="857" spans="1:99" ht="37.5" hidden="1" x14ac:dyDescent="0.3">
      <c r="A857" s="138" t="s">
        <v>425</v>
      </c>
      <c r="B857" s="54">
        <v>936</v>
      </c>
      <c r="C857" s="12" t="s">
        <v>121</v>
      </c>
      <c r="D857" s="12" t="s">
        <v>128</v>
      </c>
      <c r="E857" s="42" t="s">
        <v>355</v>
      </c>
      <c r="F857" s="42" t="s">
        <v>59</v>
      </c>
      <c r="G857" s="53">
        <v>0</v>
      </c>
      <c r="H857" s="111"/>
      <c r="I857" s="112"/>
      <c r="J857" s="111"/>
      <c r="K857" s="76"/>
      <c r="L857" s="75"/>
      <c r="M857" s="75"/>
      <c r="AG857" s="75"/>
      <c r="AH857" s="75"/>
      <c r="AK857" s="75">
        <v>0</v>
      </c>
    </row>
    <row r="858" spans="1:99" ht="75" hidden="1" x14ac:dyDescent="0.3">
      <c r="A858" s="138" t="s">
        <v>911</v>
      </c>
      <c r="B858" s="54">
        <v>936</v>
      </c>
      <c r="C858" s="12" t="s">
        <v>121</v>
      </c>
      <c r="D858" s="12" t="s">
        <v>128</v>
      </c>
      <c r="E858" s="42" t="s">
        <v>912</v>
      </c>
      <c r="F858" s="12" t="s">
        <v>50</v>
      </c>
      <c r="G858" s="53">
        <f>G859</f>
        <v>0</v>
      </c>
      <c r="H858" s="111"/>
      <c r="I858" s="112"/>
      <c r="J858" s="111"/>
      <c r="K858" s="76"/>
      <c r="L858" s="75"/>
      <c r="M858" s="75"/>
      <c r="AG858" s="75"/>
      <c r="AH858" s="75"/>
    </row>
    <row r="859" spans="1:99" ht="37.5" hidden="1" x14ac:dyDescent="0.3">
      <c r="A859" s="138" t="s">
        <v>425</v>
      </c>
      <c r="B859" s="54">
        <v>936</v>
      </c>
      <c r="C859" s="12" t="s">
        <v>121</v>
      </c>
      <c r="D859" s="12" t="s">
        <v>128</v>
      </c>
      <c r="E859" s="42" t="s">
        <v>912</v>
      </c>
      <c r="F859" s="12" t="s">
        <v>59</v>
      </c>
      <c r="G859" s="53">
        <v>0</v>
      </c>
      <c r="H859" s="111"/>
      <c r="I859" s="112"/>
      <c r="J859" s="111"/>
      <c r="K859" s="76"/>
      <c r="L859" s="75"/>
      <c r="M859" s="75"/>
      <c r="AG859" s="75"/>
      <c r="AH859" s="75"/>
      <c r="CB859" s="218">
        <v>137.184</v>
      </c>
    </row>
    <row r="860" spans="1:99" ht="75" hidden="1" x14ac:dyDescent="0.3">
      <c r="A860" s="138" t="s">
        <v>932</v>
      </c>
      <c r="B860" s="54">
        <v>936</v>
      </c>
      <c r="C860" s="12" t="s">
        <v>121</v>
      </c>
      <c r="D860" s="12" t="s">
        <v>128</v>
      </c>
      <c r="E860" s="42" t="s">
        <v>931</v>
      </c>
      <c r="F860" s="12" t="s">
        <v>50</v>
      </c>
      <c r="G860" s="53">
        <f>G861</f>
        <v>0</v>
      </c>
      <c r="H860" s="111"/>
      <c r="I860" s="112"/>
      <c r="J860" s="111"/>
      <c r="K860" s="76"/>
      <c r="L860" s="75"/>
      <c r="M860" s="75"/>
      <c r="AG860" s="75"/>
      <c r="AH860" s="75"/>
    </row>
    <row r="861" spans="1:99" ht="37.5" hidden="1" x14ac:dyDescent="0.3">
      <c r="A861" s="138" t="s">
        <v>425</v>
      </c>
      <c r="B861" s="54">
        <v>936</v>
      </c>
      <c r="C861" s="12" t="s">
        <v>121</v>
      </c>
      <c r="D861" s="12" t="s">
        <v>128</v>
      </c>
      <c r="E861" s="42" t="s">
        <v>931</v>
      </c>
      <c r="F861" s="12" t="s">
        <v>59</v>
      </c>
      <c r="G861" s="53">
        <v>0</v>
      </c>
      <c r="H861" s="111"/>
      <c r="I861" s="112"/>
      <c r="J861" s="111"/>
      <c r="K861" s="76"/>
      <c r="L861" s="75"/>
      <c r="M861" s="75"/>
      <c r="AG861" s="75"/>
      <c r="AH861" s="75"/>
      <c r="CF861" s="187">
        <v>130</v>
      </c>
    </row>
    <row r="862" spans="1:99" ht="37.5" x14ac:dyDescent="0.3">
      <c r="A862" s="150" t="s">
        <v>258</v>
      </c>
      <c r="B862" s="10">
        <v>936</v>
      </c>
      <c r="C862" s="7" t="s">
        <v>121</v>
      </c>
      <c r="D862" s="17">
        <v>12</v>
      </c>
      <c r="E862" s="10" t="s">
        <v>49</v>
      </c>
      <c r="F862" s="7" t="s">
        <v>50</v>
      </c>
      <c r="G862" s="64">
        <f>G864+G878+G863</f>
        <v>1232.5</v>
      </c>
      <c r="H862" s="111"/>
      <c r="I862" s="112"/>
      <c r="J862" s="111"/>
      <c r="K862" s="76"/>
      <c r="L862" s="75"/>
      <c r="M862" s="75"/>
      <c r="AG862" s="75"/>
      <c r="AH862" s="75"/>
    </row>
    <row r="863" spans="1:99" ht="47.25" hidden="1" customHeight="1" x14ac:dyDescent="0.3">
      <c r="A863" s="151" t="s">
        <v>12</v>
      </c>
      <c r="B863" s="26">
        <v>936</v>
      </c>
      <c r="C863" s="27" t="s">
        <v>121</v>
      </c>
      <c r="D863" s="28" t="s">
        <v>259</v>
      </c>
      <c r="E863" s="6" t="s">
        <v>102</v>
      </c>
      <c r="F863" s="12" t="s">
        <v>50</v>
      </c>
      <c r="G863" s="53">
        <f>G874</f>
        <v>0</v>
      </c>
      <c r="H863" s="111"/>
      <c r="I863" s="112"/>
      <c r="J863" s="111"/>
      <c r="K863" s="76"/>
      <c r="L863" s="75"/>
      <c r="M863" s="75"/>
      <c r="AG863" s="75"/>
      <c r="AH863" s="75"/>
    </row>
    <row r="864" spans="1:99" ht="59.25" hidden="1" customHeight="1" outlineLevel="1" x14ac:dyDescent="0.3">
      <c r="A864" s="151" t="s">
        <v>13</v>
      </c>
      <c r="B864" s="11">
        <v>936</v>
      </c>
      <c r="C864" s="12" t="s">
        <v>121</v>
      </c>
      <c r="D864" s="6">
        <v>12</v>
      </c>
      <c r="E864" s="13" t="s">
        <v>135</v>
      </c>
      <c r="F864" s="12" t="s">
        <v>50</v>
      </c>
      <c r="G864" s="53">
        <f>G865+G870</f>
        <v>0</v>
      </c>
      <c r="H864" s="111"/>
      <c r="I864" s="112"/>
      <c r="J864" s="111"/>
      <c r="K864" s="76"/>
      <c r="L864" s="75"/>
      <c r="M864" s="75"/>
      <c r="AG864" s="75"/>
      <c r="AH864" s="75"/>
    </row>
    <row r="865" spans="1:44" ht="37.5" hidden="1" outlineLevel="2" x14ac:dyDescent="0.3">
      <c r="A865" s="151" t="s">
        <v>15</v>
      </c>
      <c r="B865" s="11">
        <v>936</v>
      </c>
      <c r="C865" s="12" t="s">
        <v>121</v>
      </c>
      <c r="D865" s="6">
        <v>12</v>
      </c>
      <c r="E865" s="13" t="s">
        <v>31</v>
      </c>
      <c r="F865" s="12" t="s">
        <v>50</v>
      </c>
      <c r="G865" s="53">
        <f>G866</f>
        <v>0</v>
      </c>
      <c r="H865" s="111"/>
      <c r="I865" s="112"/>
      <c r="J865" s="111"/>
      <c r="K865" s="76"/>
      <c r="L865" s="75"/>
      <c r="M865" s="75"/>
      <c r="AG865" s="75"/>
      <c r="AH865" s="75"/>
    </row>
    <row r="866" spans="1:44" hidden="1" outlineLevel="2" x14ac:dyDescent="0.3">
      <c r="A866" s="138" t="s">
        <v>62</v>
      </c>
      <c r="B866" s="11">
        <v>936</v>
      </c>
      <c r="C866" s="12" t="s">
        <v>121</v>
      </c>
      <c r="D866" s="6" t="s">
        <v>259</v>
      </c>
      <c r="E866" s="12" t="s">
        <v>262</v>
      </c>
      <c r="F866" s="12" t="s">
        <v>50</v>
      </c>
      <c r="G866" s="53">
        <f>G867</f>
        <v>0</v>
      </c>
      <c r="H866" s="111"/>
      <c r="I866" s="112"/>
      <c r="J866" s="111"/>
      <c r="K866" s="76"/>
      <c r="L866" s="75"/>
      <c r="M866" s="75"/>
      <c r="AG866" s="75"/>
      <c r="AH866" s="75"/>
    </row>
    <row r="867" spans="1:44" hidden="1" outlineLevel="2" x14ac:dyDescent="0.3">
      <c r="A867" s="138" t="s">
        <v>260</v>
      </c>
      <c r="B867" s="11">
        <v>936</v>
      </c>
      <c r="C867" s="12" t="s">
        <v>121</v>
      </c>
      <c r="D867" s="6" t="s">
        <v>259</v>
      </c>
      <c r="E867" s="12" t="s">
        <v>263</v>
      </c>
      <c r="F867" s="12" t="s">
        <v>50</v>
      </c>
      <c r="G867" s="53">
        <f>G868+G869</f>
        <v>0</v>
      </c>
      <c r="H867" s="111"/>
      <c r="I867" s="112"/>
      <c r="J867" s="111"/>
      <c r="K867" s="76"/>
      <c r="L867" s="75"/>
      <c r="M867" s="75"/>
      <c r="AG867" s="75"/>
      <c r="AH867" s="75"/>
    </row>
    <row r="868" spans="1:44" ht="37.5" hidden="1" outlineLevel="2" x14ac:dyDescent="0.3">
      <c r="A868" s="138" t="s">
        <v>58</v>
      </c>
      <c r="B868" s="11">
        <v>936</v>
      </c>
      <c r="C868" s="12" t="s">
        <v>121</v>
      </c>
      <c r="D868" s="6" t="s">
        <v>259</v>
      </c>
      <c r="E868" s="12" t="s">
        <v>263</v>
      </c>
      <c r="F868" s="12" t="s">
        <v>59</v>
      </c>
      <c r="G868" s="53"/>
      <c r="H868" s="111"/>
      <c r="I868" s="112"/>
      <c r="J868" s="111"/>
      <c r="K868" s="76"/>
      <c r="L868" s="75"/>
      <c r="M868" s="75"/>
      <c r="AG868" s="75"/>
      <c r="AH868" s="75"/>
    </row>
    <row r="869" spans="1:44" ht="49.5" hidden="1" customHeight="1" outlineLevel="2" x14ac:dyDescent="0.3">
      <c r="A869" s="138" t="s">
        <v>264</v>
      </c>
      <c r="B869" s="11">
        <v>936</v>
      </c>
      <c r="C869" s="12" t="s">
        <v>121</v>
      </c>
      <c r="D869" s="12" t="s">
        <v>259</v>
      </c>
      <c r="E869" s="12" t="s">
        <v>263</v>
      </c>
      <c r="F869" s="12" t="s">
        <v>261</v>
      </c>
      <c r="G869" s="53"/>
      <c r="H869" s="111"/>
      <c r="I869" s="112"/>
      <c r="J869" s="111"/>
      <c r="K869" s="76"/>
      <c r="L869" s="75"/>
      <c r="M869" s="75"/>
      <c r="AG869" s="75"/>
      <c r="AH869" s="75"/>
    </row>
    <row r="870" spans="1:44" hidden="1" outlineLevel="1" x14ac:dyDescent="0.3">
      <c r="A870" s="138" t="s">
        <v>409</v>
      </c>
      <c r="B870" s="26">
        <v>936</v>
      </c>
      <c r="C870" s="27" t="s">
        <v>121</v>
      </c>
      <c r="D870" s="28" t="s">
        <v>259</v>
      </c>
      <c r="E870" s="18" t="s">
        <v>136</v>
      </c>
      <c r="F870" s="18" t="s">
        <v>50</v>
      </c>
      <c r="G870" s="53">
        <f>G871</f>
        <v>0</v>
      </c>
      <c r="H870" s="111"/>
      <c r="I870" s="112"/>
      <c r="J870" s="111"/>
      <c r="K870" s="76"/>
      <c r="L870" s="75"/>
      <c r="M870" s="75"/>
      <c r="AG870" s="75"/>
      <c r="AH870" s="75"/>
    </row>
    <row r="871" spans="1:44" hidden="1" outlineLevel="1" x14ac:dyDescent="0.3">
      <c r="A871" s="161" t="s">
        <v>62</v>
      </c>
      <c r="B871" s="26">
        <v>936</v>
      </c>
      <c r="C871" s="27" t="s">
        <v>121</v>
      </c>
      <c r="D871" s="28" t="s">
        <v>259</v>
      </c>
      <c r="E871" s="18" t="s">
        <v>266</v>
      </c>
      <c r="F871" s="18" t="s">
        <v>50</v>
      </c>
      <c r="G871" s="53">
        <f>G872</f>
        <v>0</v>
      </c>
      <c r="H871" s="111"/>
      <c r="I871" s="112"/>
      <c r="J871" s="111"/>
      <c r="K871" s="76"/>
      <c r="L871" s="75"/>
      <c r="M871" s="75"/>
      <c r="AG871" s="75"/>
      <c r="AH871" s="75"/>
    </row>
    <row r="872" spans="1:44" ht="37.5" hidden="1" outlineLevel="1" x14ac:dyDescent="0.3">
      <c r="A872" s="161" t="s">
        <v>265</v>
      </c>
      <c r="B872" s="26">
        <v>936</v>
      </c>
      <c r="C872" s="27" t="s">
        <v>121</v>
      </c>
      <c r="D872" s="28" t="s">
        <v>259</v>
      </c>
      <c r="E872" s="18" t="s">
        <v>267</v>
      </c>
      <c r="F872" s="18" t="s">
        <v>50</v>
      </c>
      <c r="G872" s="53">
        <f>G873</f>
        <v>0</v>
      </c>
      <c r="H872" s="111"/>
      <c r="I872" s="112"/>
      <c r="J872" s="111"/>
      <c r="K872" s="76"/>
      <c r="L872" s="75"/>
      <c r="M872" s="75"/>
      <c r="AG872" s="75"/>
      <c r="AH872" s="75"/>
    </row>
    <row r="873" spans="1:44" ht="37.5" hidden="1" outlineLevel="1" x14ac:dyDescent="0.3">
      <c r="A873" s="138" t="s">
        <v>425</v>
      </c>
      <c r="B873" s="26">
        <v>936</v>
      </c>
      <c r="C873" s="27" t="s">
        <v>121</v>
      </c>
      <c r="D873" s="28" t="s">
        <v>259</v>
      </c>
      <c r="E873" s="18" t="s">
        <v>267</v>
      </c>
      <c r="F873" s="18" t="s">
        <v>59</v>
      </c>
      <c r="G873" s="53">
        <v>0</v>
      </c>
      <c r="H873" s="111"/>
      <c r="I873" s="112"/>
      <c r="J873" s="111"/>
      <c r="K873" s="76"/>
      <c r="L873" s="75"/>
      <c r="M873" s="75"/>
      <c r="AG873" s="75"/>
      <c r="AH873" s="75"/>
    </row>
    <row r="874" spans="1:44" hidden="1" outlineLevel="1" x14ac:dyDescent="0.3">
      <c r="A874" s="138" t="s">
        <v>409</v>
      </c>
      <c r="B874" s="11">
        <v>936</v>
      </c>
      <c r="C874" s="27" t="s">
        <v>121</v>
      </c>
      <c r="D874" s="28" t="s">
        <v>259</v>
      </c>
      <c r="E874" s="13" t="s">
        <v>106</v>
      </c>
      <c r="F874" s="12" t="s">
        <v>50</v>
      </c>
      <c r="G874" s="53">
        <f>G875</f>
        <v>0</v>
      </c>
      <c r="H874" s="111"/>
      <c r="I874" s="112"/>
      <c r="J874" s="111"/>
      <c r="K874" s="76"/>
      <c r="L874" s="75"/>
      <c r="M874" s="75"/>
      <c r="AG874" s="75"/>
      <c r="AH874" s="75"/>
    </row>
    <row r="875" spans="1:44" hidden="1" outlineLevel="1" x14ac:dyDescent="0.3">
      <c r="A875" s="158" t="s">
        <v>62</v>
      </c>
      <c r="B875" s="54">
        <v>936</v>
      </c>
      <c r="C875" s="27" t="s">
        <v>121</v>
      </c>
      <c r="D875" s="28" t="s">
        <v>259</v>
      </c>
      <c r="E875" s="42" t="s">
        <v>356</v>
      </c>
      <c r="F875" s="42" t="s">
        <v>50</v>
      </c>
      <c r="G875" s="53">
        <f>G876</f>
        <v>0</v>
      </c>
      <c r="H875" s="111"/>
      <c r="I875" s="112"/>
      <c r="J875" s="111"/>
      <c r="K875" s="76"/>
      <c r="L875" s="75"/>
      <c r="M875" s="75"/>
      <c r="AG875" s="75"/>
      <c r="AH875" s="75"/>
    </row>
    <row r="876" spans="1:44" ht="37.5" hidden="1" outlineLevel="1" x14ac:dyDescent="0.3">
      <c r="A876" s="158" t="s">
        <v>352</v>
      </c>
      <c r="B876" s="54">
        <v>936</v>
      </c>
      <c r="C876" s="27" t="s">
        <v>121</v>
      </c>
      <c r="D876" s="28" t="s">
        <v>259</v>
      </c>
      <c r="E876" s="42" t="s">
        <v>357</v>
      </c>
      <c r="F876" s="42" t="s">
        <v>50</v>
      </c>
      <c r="G876" s="53">
        <f>G877</f>
        <v>0</v>
      </c>
      <c r="H876" s="111"/>
      <c r="I876" s="112"/>
      <c r="J876" s="111"/>
      <c r="K876" s="76"/>
      <c r="L876" s="75"/>
      <c r="M876" s="75"/>
      <c r="AG876" s="75"/>
      <c r="AH876" s="75"/>
    </row>
    <row r="877" spans="1:44" ht="37.5" hidden="1" outlineLevel="1" x14ac:dyDescent="0.3">
      <c r="A877" s="138" t="s">
        <v>425</v>
      </c>
      <c r="B877" s="54">
        <v>936</v>
      </c>
      <c r="C877" s="27" t="s">
        <v>121</v>
      </c>
      <c r="D877" s="28" t="s">
        <v>259</v>
      </c>
      <c r="E877" s="42" t="s">
        <v>357</v>
      </c>
      <c r="F877" s="42" t="s">
        <v>59</v>
      </c>
      <c r="G877" s="53">
        <v>0</v>
      </c>
      <c r="H877" s="111"/>
      <c r="I877" s="112"/>
      <c r="J877" s="111"/>
      <c r="K877" s="76"/>
      <c r="L877" s="75"/>
      <c r="M877" s="75"/>
      <c r="AG877" s="75"/>
      <c r="AH877" s="75"/>
      <c r="AR877" s="187">
        <v>128.166</v>
      </c>
    </row>
    <row r="878" spans="1:44" ht="56.25" collapsed="1" x14ac:dyDescent="0.3">
      <c r="A878" s="151" t="s">
        <v>20</v>
      </c>
      <c r="B878" s="26">
        <v>936</v>
      </c>
      <c r="C878" s="27" t="s">
        <v>121</v>
      </c>
      <c r="D878" s="28" t="s">
        <v>259</v>
      </c>
      <c r="E878" s="13" t="s">
        <v>21</v>
      </c>
      <c r="F878" s="18" t="s">
        <v>50</v>
      </c>
      <c r="G878" s="53">
        <f>G879+G889</f>
        <v>1232.5</v>
      </c>
      <c r="H878" s="111"/>
      <c r="I878" s="112"/>
      <c r="J878" s="111"/>
      <c r="K878" s="76"/>
      <c r="L878" s="75"/>
      <c r="M878" s="75"/>
      <c r="AG878" s="75"/>
      <c r="AH878" s="75"/>
    </row>
    <row r="879" spans="1:44" hidden="1" x14ac:dyDescent="0.3">
      <c r="A879" s="183" t="s">
        <v>24</v>
      </c>
      <c r="B879" s="26">
        <v>936</v>
      </c>
      <c r="C879" s="27" t="s">
        <v>121</v>
      </c>
      <c r="D879" s="28" t="s">
        <v>259</v>
      </c>
      <c r="E879" s="13" t="s">
        <v>870</v>
      </c>
      <c r="F879" s="18" t="s">
        <v>50</v>
      </c>
      <c r="G879" s="53">
        <f>G880+G885+G887</f>
        <v>1071</v>
      </c>
      <c r="H879" s="111"/>
      <c r="I879" s="112"/>
      <c r="J879" s="111"/>
      <c r="K879" s="76"/>
      <c r="L879" s="75"/>
      <c r="M879" s="75"/>
      <c r="AG879" s="75"/>
      <c r="AH879" s="75"/>
    </row>
    <row r="880" spans="1:44" ht="21.75" customHeight="1" x14ac:dyDescent="0.3">
      <c r="A880" s="138" t="s">
        <v>62</v>
      </c>
      <c r="B880" s="11">
        <v>936</v>
      </c>
      <c r="C880" s="12" t="s">
        <v>121</v>
      </c>
      <c r="D880" s="6" t="s">
        <v>259</v>
      </c>
      <c r="E880" s="12" t="s">
        <v>445</v>
      </c>
      <c r="F880" s="12" t="s">
        <v>50</v>
      </c>
      <c r="G880" s="83">
        <f>G881</f>
        <v>1071</v>
      </c>
      <c r="H880" s="111"/>
      <c r="I880" s="112"/>
      <c r="J880" s="111"/>
      <c r="K880" s="76"/>
      <c r="L880" s="75"/>
      <c r="M880" s="75"/>
      <c r="AG880" s="75"/>
      <c r="AH880" s="75"/>
    </row>
    <row r="881" spans="1:118" x14ac:dyDescent="0.3">
      <c r="A881" s="138" t="s">
        <v>221</v>
      </c>
      <c r="B881" s="11">
        <v>936</v>
      </c>
      <c r="C881" s="12" t="s">
        <v>121</v>
      </c>
      <c r="D881" s="6" t="s">
        <v>259</v>
      </c>
      <c r="E881" s="12" t="s">
        <v>447</v>
      </c>
      <c r="F881" s="12" t="s">
        <v>50</v>
      </c>
      <c r="G881" s="83">
        <f>G882+G883</f>
        <v>1071</v>
      </c>
      <c r="H881" s="111"/>
      <c r="I881" s="112"/>
      <c r="J881" s="111"/>
      <c r="K881" s="76"/>
      <c r="L881" s="75"/>
      <c r="M881" s="75"/>
      <c r="AG881" s="75"/>
      <c r="AH881" s="75"/>
    </row>
    <row r="882" spans="1:118" ht="37.5" x14ac:dyDescent="0.3">
      <c r="A882" s="138" t="s">
        <v>425</v>
      </c>
      <c r="B882" s="11">
        <v>936</v>
      </c>
      <c r="C882" s="12" t="s">
        <v>121</v>
      </c>
      <c r="D882" s="6" t="s">
        <v>259</v>
      </c>
      <c r="E882" s="12" t="s">
        <v>447</v>
      </c>
      <c r="F882" s="12" t="s">
        <v>59</v>
      </c>
      <c r="G882" s="83">
        <f>CR882+CU882+CX882+CZ882+DC882+DD882+DI882+DN882</f>
        <v>1071</v>
      </c>
      <c r="H882" s="111">
        <f>30+19</f>
        <v>49</v>
      </c>
      <c r="I882" s="112"/>
      <c r="J882" s="111"/>
      <c r="K882" s="76"/>
      <c r="L882" s="75"/>
      <c r="M882" s="75"/>
      <c r="U882">
        <v>160</v>
      </c>
      <c r="Z882">
        <v>-40</v>
      </c>
      <c r="AD882">
        <v>70</v>
      </c>
      <c r="AG882" s="75"/>
      <c r="AH882" s="75"/>
      <c r="AK882" s="75">
        <v>90</v>
      </c>
      <c r="AX882" s="96">
        <v>100</v>
      </c>
      <c r="AZ882" s="218">
        <v>50</v>
      </c>
      <c r="BX882" s="146">
        <v>20</v>
      </c>
      <c r="CB882" s="218">
        <v>154</v>
      </c>
      <c r="CH882" s="250">
        <v>100</v>
      </c>
      <c r="CR882" s="94">
        <v>100</v>
      </c>
      <c r="CU882" s="250">
        <f>338.2+149.3</f>
        <v>487.5</v>
      </c>
      <c r="CX882" s="260">
        <f>120+100</f>
        <v>220</v>
      </c>
      <c r="CZ882" s="187">
        <v>50</v>
      </c>
      <c r="DC882" s="187">
        <v>150</v>
      </c>
      <c r="DD882" s="187">
        <v>-19.5</v>
      </c>
      <c r="DI882" s="260">
        <v>93</v>
      </c>
      <c r="DN882" s="260">
        <v>-10</v>
      </c>
    </row>
    <row r="883" spans="1:118" hidden="1" x14ac:dyDescent="0.3">
      <c r="A883" s="138" t="s">
        <v>311</v>
      </c>
      <c r="B883" s="11">
        <v>936</v>
      </c>
      <c r="C883" s="12" t="s">
        <v>529</v>
      </c>
      <c r="D883" s="6" t="s">
        <v>123</v>
      </c>
      <c r="E883" s="12" t="s">
        <v>530</v>
      </c>
      <c r="F883" s="12" t="s">
        <v>50</v>
      </c>
      <c r="G883" s="31"/>
      <c r="H883" s="128"/>
      <c r="I883" s="129"/>
      <c r="J883" s="128"/>
      <c r="K883" s="76"/>
      <c r="L883" s="75"/>
      <c r="M883" s="75"/>
      <c r="AG883" s="75"/>
      <c r="AH883" s="75"/>
    </row>
    <row r="884" spans="1:118" hidden="1" x14ac:dyDescent="0.3">
      <c r="A884" s="138"/>
      <c r="B884" s="11"/>
      <c r="C884" s="12"/>
      <c r="D884" s="6"/>
      <c r="E884" s="12"/>
      <c r="F884" s="12"/>
      <c r="G884" s="53"/>
      <c r="H884" s="111"/>
      <c r="I884" s="112"/>
      <c r="J884" s="111"/>
      <c r="K884" s="76"/>
      <c r="L884" s="75"/>
      <c r="M884" s="75"/>
      <c r="AG884" s="75"/>
      <c r="AH884" s="75"/>
    </row>
    <row r="885" spans="1:118" hidden="1" x14ac:dyDescent="0.3">
      <c r="A885" s="138" t="s">
        <v>528</v>
      </c>
      <c r="B885" s="11">
        <v>936</v>
      </c>
      <c r="C885" s="12" t="s">
        <v>121</v>
      </c>
      <c r="D885" s="6" t="s">
        <v>259</v>
      </c>
      <c r="E885" s="12" t="s">
        <v>871</v>
      </c>
      <c r="F885" s="12" t="s">
        <v>50</v>
      </c>
      <c r="G885" s="31">
        <f>G886</f>
        <v>0</v>
      </c>
      <c r="H885" s="128"/>
      <c r="I885" s="129">
        <v>109.6</v>
      </c>
      <c r="J885" s="128"/>
      <c r="K885" s="76"/>
      <c r="L885" s="75"/>
      <c r="M885" s="75"/>
      <c r="AG885" s="75"/>
      <c r="AH885" s="75"/>
    </row>
    <row r="886" spans="1:118" ht="37.5" hidden="1" x14ac:dyDescent="0.3">
      <c r="A886" s="138" t="s">
        <v>425</v>
      </c>
      <c r="B886" s="11">
        <v>936</v>
      </c>
      <c r="C886" s="12" t="s">
        <v>121</v>
      </c>
      <c r="D886" s="6" t="s">
        <v>259</v>
      </c>
      <c r="E886" s="12" t="s">
        <v>871</v>
      </c>
      <c r="F886" s="12" t="s">
        <v>59</v>
      </c>
      <c r="G886" s="68">
        <v>0</v>
      </c>
      <c r="H886" s="111"/>
      <c r="I886" s="112"/>
      <c r="J886" s="111"/>
      <c r="K886" s="76"/>
      <c r="L886" s="75"/>
      <c r="M886" s="75"/>
      <c r="AG886" s="75">
        <v>-39.5</v>
      </c>
      <c r="AH886" s="75"/>
      <c r="AK886" s="75">
        <v>253.2</v>
      </c>
      <c r="BO886" s="230">
        <v>222.1</v>
      </c>
      <c r="BT886" s="146">
        <v>30.4</v>
      </c>
    </row>
    <row r="887" spans="1:118" hidden="1" x14ac:dyDescent="0.3">
      <c r="A887" s="138" t="s">
        <v>528</v>
      </c>
      <c r="B887" s="11">
        <v>936</v>
      </c>
      <c r="C887" s="12" t="s">
        <v>121</v>
      </c>
      <c r="D887" s="6" t="s">
        <v>259</v>
      </c>
      <c r="E887" s="12" t="s">
        <v>872</v>
      </c>
      <c r="F887" s="12" t="s">
        <v>50</v>
      </c>
      <c r="G887" s="68">
        <f>G888</f>
        <v>0</v>
      </c>
      <c r="H887" s="111"/>
      <c r="I887" s="112"/>
      <c r="J887" s="111"/>
      <c r="K887" s="76"/>
      <c r="L887" s="75"/>
      <c r="M887" s="75"/>
      <c r="AG887" s="75"/>
      <c r="AH887" s="75"/>
    </row>
    <row r="888" spans="1:118" ht="37.5" hidden="1" x14ac:dyDescent="0.3">
      <c r="A888" s="138" t="s">
        <v>425</v>
      </c>
      <c r="B888" s="11">
        <v>936</v>
      </c>
      <c r="C888" s="12" t="s">
        <v>121</v>
      </c>
      <c r="D888" s="6" t="s">
        <v>259</v>
      </c>
      <c r="E888" s="12" t="s">
        <v>872</v>
      </c>
      <c r="F888" s="12" t="s">
        <v>59</v>
      </c>
      <c r="G888" s="68">
        <v>0</v>
      </c>
      <c r="H888" s="111"/>
      <c r="I888" s="112"/>
      <c r="J888" s="111">
        <v>27.4</v>
      </c>
      <c r="K888" s="76"/>
      <c r="L888" s="75"/>
      <c r="M888" s="75"/>
      <c r="AG888" s="75"/>
      <c r="AH888" s="75"/>
      <c r="BP888" s="231">
        <v>74.099999999999994</v>
      </c>
      <c r="BU888" s="146">
        <v>10.199999999999999</v>
      </c>
    </row>
    <row r="889" spans="1:118" x14ac:dyDescent="0.3">
      <c r="A889" s="138" t="s">
        <v>409</v>
      </c>
      <c r="B889" s="11">
        <v>936</v>
      </c>
      <c r="C889" s="12" t="s">
        <v>121</v>
      </c>
      <c r="D889" s="12" t="s">
        <v>259</v>
      </c>
      <c r="E889" s="12" t="s">
        <v>35</v>
      </c>
      <c r="F889" s="12" t="s">
        <v>50</v>
      </c>
      <c r="G889" s="83">
        <f>G893+G895+G898</f>
        <v>161.5</v>
      </c>
      <c r="H889" s="111"/>
      <c r="I889" s="112"/>
      <c r="J889" s="111"/>
      <c r="K889" s="76"/>
      <c r="L889" s="75"/>
      <c r="M889" s="75"/>
      <c r="AG889" s="75"/>
      <c r="AH889" s="75"/>
    </row>
    <row r="890" spans="1:118" ht="23.25" hidden="1" customHeight="1" x14ac:dyDescent="0.3">
      <c r="A890" s="138" t="s">
        <v>62</v>
      </c>
      <c r="B890" s="11">
        <v>936</v>
      </c>
      <c r="C890" s="12" t="s">
        <v>121</v>
      </c>
      <c r="D890" s="6" t="s">
        <v>259</v>
      </c>
      <c r="E890" s="12" t="s">
        <v>225</v>
      </c>
      <c r="F890" s="12" t="s">
        <v>50</v>
      </c>
      <c r="G890" s="83">
        <f>G891</f>
        <v>0</v>
      </c>
      <c r="H890" s="111"/>
      <c r="I890" s="112"/>
      <c r="J890" s="111"/>
      <c r="K890" s="76"/>
      <c r="L890" s="75"/>
      <c r="M890" s="75"/>
      <c r="AG890" s="75"/>
      <c r="AH890" s="75"/>
    </row>
    <row r="891" spans="1:118" hidden="1" x14ac:dyDescent="0.3">
      <c r="A891" s="183" t="s">
        <v>269</v>
      </c>
      <c r="B891" s="11">
        <v>936</v>
      </c>
      <c r="C891" s="12" t="s">
        <v>121</v>
      </c>
      <c r="D891" s="6" t="s">
        <v>259</v>
      </c>
      <c r="E891" s="12" t="s">
        <v>271</v>
      </c>
      <c r="F891" s="12" t="s">
        <v>50</v>
      </c>
      <c r="G891" s="83">
        <f>G892</f>
        <v>0</v>
      </c>
      <c r="H891" s="111"/>
      <c r="I891" s="112"/>
      <c r="J891" s="111"/>
      <c r="K891" s="76"/>
      <c r="L891" s="75"/>
      <c r="M891" s="75"/>
      <c r="AG891" s="75"/>
      <c r="AH891" s="75"/>
    </row>
    <row r="892" spans="1:118" ht="37.5" hidden="1" x14ac:dyDescent="0.3">
      <c r="A892" s="138" t="s">
        <v>425</v>
      </c>
      <c r="B892" s="11">
        <v>936</v>
      </c>
      <c r="C892" s="12" t="s">
        <v>121</v>
      </c>
      <c r="D892" s="6" t="s">
        <v>259</v>
      </c>
      <c r="E892" s="12" t="s">
        <v>271</v>
      </c>
      <c r="F892" s="12" t="s">
        <v>59</v>
      </c>
      <c r="G892" s="83">
        <f>H892-50</f>
        <v>0</v>
      </c>
      <c r="H892" s="120">
        <v>50</v>
      </c>
      <c r="I892" s="121"/>
      <c r="J892" s="120"/>
      <c r="K892" s="76"/>
      <c r="L892" s="75"/>
      <c r="M892" s="75"/>
      <c r="AD892">
        <v>-70</v>
      </c>
      <c r="AG892" s="75"/>
      <c r="AH892" s="75"/>
      <c r="AK892" s="75">
        <v>100</v>
      </c>
    </row>
    <row r="893" spans="1:118" ht="37.5" x14ac:dyDescent="0.3">
      <c r="A893" s="157" t="s">
        <v>272</v>
      </c>
      <c r="B893" s="11">
        <v>936</v>
      </c>
      <c r="C893" s="12" t="s">
        <v>121</v>
      </c>
      <c r="D893" s="6" t="s">
        <v>259</v>
      </c>
      <c r="E893" s="12" t="s">
        <v>273</v>
      </c>
      <c r="F893" s="12" t="s">
        <v>50</v>
      </c>
      <c r="G893" s="83">
        <f>G894</f>
        <v>161.5</v>
      </c>
      <c r="H893" s="111"/>
      <c r="I893" s="112"/>
      <c r="J893" s="111"/>
      <c r="K893" s="76"/>
      <c r="L893" s="75"/>
      <c r="M893" s="75"/>
      <c r="AG893" s="75"/>
      <c r="AH893" s="75"/>
    </row>
    <row r="894" spans="1:118" ht="37.5" x14ac:dyDescent="0.3">
      <c r="A894" s="138" t="s">
        <v>425</v>
      </c>
      <c r="B894" s="11">
        <v>936</v>
      </c>
      <c r="C894" s="12" t="s">
        <v>121</v>
      </c>
      <c r="D894" s="6" t="s">
        <v>259</v>
      </c>
      <c r="E894" s="12" t="s">
        <v>273</v>
      </c>
      <c r="F894" s="1">
        <v>200</v>
      </c>
      <c r="G894" s="83">
        <f>CR894+CU894+DD894+DF894</f>
        <v>161.5</v>
      </c>
      <c r="H894" s="111">
        <v>21</v>
      </c>
      <c r="I894" s="112"/>
      <c r="J894" s="111"/>
      <c r="K894" s="76"/>
      <c r="L894" s="75"/>
      <c r="M894" s="75"/>
      <c r="AG894" s="75"/>
      <c r="AH894" s="75"/>
      <c r="AK894" s="75">
        <v>0</v>
      </c>
      <c r="BN894" s="229">
        <v>40</v>
      </c>
      <c r="CR894" s="94">
        <v>100</v>
      </c>
      <c r="CU894" s="250">
        <v>17</v>
      </c>
      <c r="DD894" s="187">
        <v>19.5</v>
      </c>
      <c r="DF894" s="187">
        <v>25</v>
      </c>
    </row>
    <row r="895" spans="1:118" ht="75" hidden="1" x14ac:dyDescent="0.3">
      <c r="A895" s="138" t="s">
        <v>249</v>
      </c>
      <c r="B895" s="11">
        <v>936</v>
      </c>
      <c r="C895" s="12" t="s">
        <v>121</v>
      </c>
      <c r="D895" s="6" t="s">
        <v>259</v>
      </c>
      <c r="E895" s="12" t="s">
        <v>470</v>
      </c>
      <c r="F895" s="13" t="s">
        <v>50</v>
      </c>
      <c r="G895" s="68">
        <f>G896</f>
        <v>0</v>
      </c>
      <c r="H895" s="111"/>
      <c r="I895" s="112"/>
      <c r="J895" s="111"/>
      <c r="K895" s="76"/>
      <c r="L895" s="75"/>
      <c r="M895" s="75"/>
      <c r="AG895" s="75"/>
      <c r="AH895" s="75"/>
    </row>
    <row r="896" spans="1:118" ht="40.5" hidden="1" customHeight="1" x14ac:dyDescent="0.3">
      <c r="A896" s="138" t="s">
        <v>471</v>
      </c>
      <c r="B896" s="11">
        <v>936</v>
      </c>
      <c r="C896" s="12" t="s">
        <v>121</v>
      </c>
      <c r="D896" s="6" t="s">
        <v>259</v>
      </c>
      <c r="E896" s="12" t="s">
        <v>469</v>
      </c>
      <c r="F896" s="13" t="s">
        <v>50</v>
      </c>
      <c r="G896" s="68">
        <f>G897</f>
        <v>0</v>
      </c>
      <c r="H896" s="111"/>
      <c r="I896" s="112"/>
      <c r="J896" s="111"/>
      <c r="K896" s="76"/>
      <c r="L896" s="75"/>
      <c r="M896" s="75"/>
      <c r="AG896" s="75"/>
      <c r="AH896" s="75"/>
    </row>
    <row r="897" spans="1:114" ht="37.5" hidden="1" x14ac:dyDescent="0.3">
      <c r="A897" s="138" t="s">
        <v>425</v>
      </c>
      <c r="B897" s="11">
        <v>936</v>
      </c>
      <c r="C897" s="12" t="s">
        <v>121</v>
      </c>
      <c r="D897" s="6" t="s">
        <v>259</v>
      </c>
      <c r="E897" s="12" t="s">
        <v>469</v>
      </c>
      <c r="F897" s="1">
        <v>200</v>
      </c>
      <c r="G897" s="68">
        <v>0</v>
      </c>
      <c r="H897" s="111"/>
      <c r="I897" s="112"/>
      <c r="J897" s="111"/>
      <c r="K897" s="76"/>
      <c r="L897" s="75"/>
      <c r="M897" s="75"/>
      <c r="AG897" s="75"/>
      <c r="AH897" s="75"/>
    </row>
    <row r="898" spans="1:114" ht="39.75" hidden="1" customHeight="1" x14ac:dyDescent="0.3">
      <c r="A898" s="138" t="s">
        <v>472</v>
      </c>
      <c r="B898" s="11">
        <v>936</v>
      </c>
      <c r="C898" s="12" t="s">
        <v>121</v>
      </c>
      <c r="D898" s="6" t="s">
        <v>259</v>
      </c>
      <c r="E898" s="12" t="s">
        <v>473</v>
      </c>
      <c r="F898" s="13" t="s">
        <v>50</v>
      </c>
      <c r="G898" s="68">
        <f>G899</f>
        <v>0</v>
      </c>
      <c r="H898" s="111"/>
      <c r="I898" s="112"/>
      <c r="J898" s="111"/>
      <c r="K898" s="76"/>
      <c r="L898" s="75"/>
      <c r="M898" s="75"/>
      <c r="AG898" s="75"/>
      <c r="AH898" s="75"/>
    </row>
    <row r="899" spans="1:114" ht="37.5" hidden="1" x14ac:dyDescent="0.3">
      <c r="A899" s="138" t="s">
        <v>425</v>
      </c>
      <c r="B899" s="11">
        <v>936</v>
      </c>
      <c r="C899" s="12" t="s">
        <v>121</v>
      </c>
      <c r="D899" s="6" t="s">
        <v>259</v>
      </c>
      <c r="E899" s="12" t="s">
        <v>473</v>
      </c>
      <c r="F899" s="1">
        <v>200</v>
      </c>
      <c r="G899" s="68">
        <v>0</v>
      </c>
      <c r="H899" s="111"/>
      <c r="I899" s="112"/>
      <c r="J899" s="111"/>
      <c r="K899" s="76"/>
      <c r="L899" s="75"/>
      <c r="M899" s="75"/>
      <c r="AG899" s="75"/>
      <c r="AH899" s="75"/>
    </row>
    <row r="900" spans="1:114" x14ac:dyDescent="0.3">
      <c r="A900" s="150" t="s">
        <v>274</v>
      </c>
      <c r="B900" s="10">
        <v>936</v>
      </c>
      <c r="C900" s="7" t="s">
        <v>209</v>
      </c>
      <c r="D900" s="7" t="s">
        <v>112</v>
      </c>
      <c r="E900" s="7" t="s">
        <v>49</v>
      </c>
      <c r="F900" s="7" t="s">
        <v>50</v>
      </c>
      <c r="G900" s="64">
        <f>G901+G928+G965+G1122</f>
        <v>559251.18400000001</v>
      </c>
      <c r="H900" s="111"/>
      <c r="I900" s="112"/>
      <c r="J900" s="111"/>
      <c r="K900" s="76"/>
      <c r="L900" s="75"/>
      <c r="M900" s="75"/>
      <c r="AG900" s="75"/>
      <c r="AH900" s="75"/>
    </row>
    <row r="901" spans="1:114" x14ac:dyDescent="0.3">
      <c r="A901" s="150" t="s">
        <v>275</v>
      </c>
      <c r="B901" s="10">
        <v>936</v>
      </c>
      <c r="C901" s="7" t="s">
        <v>209</v>
      </c>
      <c r="D901" s="7" t="s">
        <v>115</v>
      </c>
      <c r="E901" s="7" t="s">
        <v>49</v>
      </c>
      <c r="F901" s="7" t="s">
        <v>50</v>
      </c>
      <c r="G901" s="64">
        <f>G907+G902+G914</f>
        <v>47587.621229999997</v>
      </c>
      <c r="H901" s="111"/>
      <c r="I901" s="112"/>
      <c r="J901" s="111"/>
      <c r="K901" s="76"/>
      <c r="L901" s="75"/>
      <c r="M901" s="75"/>
      <c r="AG901" s="75"/>
      <c r="AH901" s="75"/>
    </row>
    <row r="902" spans="1:114" ht="56.25" hidden="1" x14ac:dyDescent="0.3">
      <c r="A902" s="138" t="s">
        <v>0</v>
      </c>
      <c r="B902" s="11">
        <v>936</v>
      </c>
      <c r="C902" s="12" t="s">
        <v>209</v>
      </c>
      <c r="D902" s="12" t="s">
        <v>115</v>
      </c>
      <c r="E902" s="13" t="s">
        <v>92</v>
      </c>
      <c r="F902" s="12" t="s">
        <v>50</v>
      </c>
      <c r="G902" s="53">
        <f>G903</f>
        <v>0</v>
      </c>
      <c r="H902" s="111"/>
      <c r="I902" s="112"/>
      <c r="J902" s="111"/>
      <c r="K902" s="76"/>
      <c r="L902" s="75"/>
      <c r="M902" s="75"/>
      <c r="AG902" s="75"/>
      <c r="AH902" s="75"/>
    </row>
    <row r="903" spans="1:114" hidden="1" x14ac:dyDescent="0.3">
      <c r="A903" s="138" t="s">
        <v>409</v>
      </c>
      <c r="B903" s="11">
        <v>936</v>
      </c>
      <c r="C903" s="12" t="s">
        <v>209</v>
      </c>
      <c r="D903" s="12" t="s">
        <v>115</v>
      </c>
      <c r="E903" s="13" t="s">
        <v>450</v>
      </c>
      <c r="F903" s="12" t="s">
        <v>50</v>
      </c>
      <c r="G903" s="53">
        <f>G904</f>
        <v>0</v>
      </c>
      <c r="H903" s="111"/>
      <c r="I903" s="112"/>
      <c r="J903" s="111"/>
      <c r="K903" s="76"/>
      <c r="L903" s="75"/>
      <c r="M903" s="75"/>
      <c r="AG903" s="75"/>
      <c r="AH903" s="75"/>
    </row>
    <row r="904" spans="1:114" hidden="1" x14ac:dyDescent="0.3">
      <c r="A904" s="138" t="s">
        <v>62</v>
      </c>
      <c r="B904" s="11">
        <v>936</v>
      </c>
      <c r="C904" s="12" t="s">
        <v>209</v>
      </c>
      <c r="D904" s="12" t="s">
        <v>115</v>
      </c>
      <c r="E904" s="13" t="s">
        <v>502</v>
      </c>
      <c r="F904" s="12" t="s">
        <v>50</v>
      </c>
      <c r="G904" s="53">
        <f>G905</f>
        <v>0</v>
      </c>
      <c r="H904" s="111"/>
      <c r="I904" s="112"/>
      <c r="J904" s="111"/>
      <c r="K904" s="76"/>
      <c r="L904" s="75"/>
      <c r="M904" s="75"/>
      <c r="AG904" s="75"/>
      <c r="AH904" s="75"/>
    </row>
    <row r="905" spans="1:114" ht="56.25" hidden="1" x14ac:dyDescent="0.3">
      <c r="A905" s="138" t="s">
        <v>451</v>
      </c>
      <c r="B905" s="11">
        <v>936</v>
      </c>
      <c r="C905" s="12" t="s">
        <v>209</v>
      </c>
      <c r="D905" s="12" t="s">
        <v>115</v>
      </c>
      <c r="E905" s="13" t="s">
        <v>501</v>
      </c>
      <c r="F905" s="12" t="s">
        <v>50</v>
      </c>
      <c r="G905" s="53">
        <f>G906</f>
        <v>0</v>
      </c>
      <c r="H905" s="111"/>
      <c r="I905" s="112"/>
      <c r="J905" s="111"/>
      <c r="K905" s="76"/>
      <c r="L905" s="75"/>
      <c r="M905" s="75"/>
      <c r="AG905" s="75"/>
      <c r="AH905" s="75"/>
    </row>
    <row r="906" spans="1:114" ht="37.5" hidden="1" x14ac:dyDescent="0.3">
      <c r="A906" s="138" t="s">
        <v>425</v>
      </c>
      <c r="B906" s="11">
        <v>936</v>
      </c>
      <c r="C906" s="12" t="s">
        <v>209</v>
      </c>
      <c r="D906" s="12" t="s">
        <v>115</v>
      </c>
      <c r="E906" s="13" t="s">
        <v>501</v>
      </c>
      <c r="F906" s="12" t="s">
        <v>59</v>
      </c>
      <c r="G906" s="53">
        <v>0</v>
      </c>
      <c r="H906" s="111"/>
      <c r="I906" s="112"/>
      <c r="J906" s="111"/>
      <c r="K906" s="76"/>
      <c r="L906" s="75"/>
      <c r="M906" s="75"/>
      <c r="N906">
        <v>160</v>
      </c>
      <c r="T906">
        <f>-4-160</f>
        <v>-164</v>
      </c>
      <c r="U906">
        <v>4</v>
      </c>
      <c r="AG906" s="75"/>
      <c r="AH906" s="75"/>
      <c r="AK906" s="75">
        <v>0</v>
      </c>
    </row>
    <row r="907" spans="1:114" ht="42.75" customHeight="1" x14ac:dyDescent="0.3">
      <c r="A907" s="151" t="s">
        <v>161</v>
      </c>
      <c r="B907" s="11">
        <v>936</v>
      </c>
      <c r="C907" s="12" t="s">
        <v>209</v>
      </c>
      <c r="D907" s="12" t="s">
        <v>115</v>
      </c>
      <c r="E907" s="13" t="s">
        <v>99</v>
      </c>
      <c r="F907" s="12" t="s">
        <v>50</v>
      </c>
      <c r="G907" s="53">
        <f>G908</f>
        <v>3014.32123</v>
      </c>
      <c r="H907" s="111"/>
      <c r="I907" s="112"/>
      <c r="J907" s="111"/>
      <c r="K907" s="76"/>
      <c r="L907" s="75"/>
      <c r="M907" s="75"/>
      <c r="AG907" s="75"/>
      <c r="AH907" s="75"/>
    </row>
    <row r="908" spans="1:114" ht="56.25" x14ac:dyDescent="0.3">
      <c r="A908" s="151" t="s">
        <v>9</v>
      </c>
      <c r="B908" s="11">
        <v>936</v>
      </c>
      <c r="C908" s="12" t="s">
        <v>209</v>
      </c>
      <c r="D908" s="12" t="s">
        <v>115</v>
      </c>
      <c r="E908" s="13" t="s">
        <v>101</v>
      </c>
      <c r="F908" s="12" t="s">
        <v>50</v>
      </c>
      <c r="G908" s="53">
        <f>G909</f>
        <v>3014.32123</v>
      </c>
      <c r="H908" s="111"/>
      <c r="I908" s="112"/>
      <c r="J908" s="111"/>
      <c r="K908" s="76"/>
      <c r="L908" s="75"/>
      <c r="M908" s="75"/>
      <c r="AG908" s="75"/>
      <c r="AH908" s="75"/>
    </row>
    <row r="909" spans="1:114" x14ac:dyDescent="0.3">
      <c r="A909" s="138" t="s">
        <v>62</v>
      </c>
      <c r="B909" s="11">
        <v>936</v>
      </c>
      <c r="C909" s="12" t="s">
        <v>209</v>
      </c>
      <c r="D909" s="12" t="s">
        <v>115</v>
      </c>
      <c r="E909" s="12" t="s">
        <v>268</v>
      </c>
      <c r="F909" s="12" t="s">
        <v>50</v>
      </c>
      <c r="G909" s="53">
        <f>G912+G910</f>
        <v>3014.32123</v>
      </c>
      <c r="H909" s="111"/>
      <c r="I909" s="112"/>
      <c r="J909" s="111"/>
      <c r="K909" s="76"/>
      <c r="L909" s="75"/>
      <c r="M909" s="75"/>
      <c r="AG909" s="75"/>
      <c r="AH909" s="75"/>
    </row>
    <row r="910" spans="1:114" ht="56.25" x14ac:dyDescent="0.3">
      <c r="A910" s="138" t="s">
        <v>276</v>
      </c>
      <c r="B910" s="11">
        <v>936</v>
      </c>
      <c r="C910" s="12" t="s">
        <v>209</v>
      </c>
      <c r="D910" s="12" t="s">
        <v>115</v>
      </c>
      <c r="E910" s="12" t="s">
        <v>277</v>
      </c>
      <c r="F910" s="12" t="s">
        <v>50</v>
      </c>
      <c r="G910" s="53">
        <f>G911</f>
        <v>3014.32123</v>
      </c>
      <c r="H910" s="111"/>
      <c r="I910" s="112"/>
      <c r="J910" s="111"/>
      <c r="K910" s="76"/>
      <c r="L910" s="75"/>
      <c r="M910" s="75"/>
      <c r="AG910" s="75"/>
      <c r="AH910" s="75"/>
    </row>
    <row r="911" spans="1:114" ht="37.5" x14ac:dyDescent="0.3">
      <c r="A911" s="138" t="s">
        <v>425</v>
      </c>
      <c r="B911" s="11">
        <v>936</v>
      </c>
      <c r="C911" s="12" t="s">
        <v>209</v>
      </c>
      <c r="D911" s="12" t="s">
        <v>115</v>
      </c>
      <c r="E911" s="12" t="s">
        <v>277</v>
      </c>
      <c r="F911" s="12" t="s">
        <v>59</v>
      </c>
      <c r="G911" s="68">
        <f>CR911+CU911+CX911+CY911+DD911+DC911+DE911+DJ911</f>
        <v>3014.32123</v>
      </c>
      <c r="H911" s="111">
        <f>730+50</f>
        <v>780</v>
      </c>
      <c r="I911" s="112"/>
      <c r="J911" s="111"/>
      <c r="K911" s="76"/>
      <c r="L911" s="75"/>
      <c r="M911" s="75">
        <v>1922</v>
      </c>
      <c r="N911">
        <f>-579.17+170.4</f>
        <v>-408.77</v>
      </c>
      <c r="T911">
        <v>100</v>
      </c>
      <c r="AC911">
        <v>720</v>
      </c>
      <c r="AE911">
        <v>370</v>
      </c>
      <c r="AG911" s="75"/>
      <c r="AH911" s="75">
        <v>250</v>
      </c>
      <c r="AK911" s="75">
        <v>730</v>
      </c>
      <c r="AS911" s="187">
        <v>1030</v>
      </c>
      <c r="AU911">
        <v>-60</v>
      </c>
      <c r="AV911" s="187">
        <f>300-25</f>
        <v>275</v>
      </c>
      <c r="AZ911" s="218">
        <v>24</v>
      </c>
      <c r="BE911" s="218">
        <v>-103.1</v>
      </c>
      <c r="BJ911" s="187">
        <v>-34.450000000000003</v>
      </c>
      <c r="BK911" s="218">
        <v>-15.55</v>
      </c>
      <c r="BN911" s="229">
        <v>750</v>
      </c>
      <c r="BX911" s="146">
        <v>50</v>
      </c>
      <c r="CF911" s="187">
        <v>80</v>
      </c>
      <c r="CP911" s="251">
        <v>2200</v>
      </c>
      <c r="CR911" s="94">
        <v>750</v>
      </c>
      <c r="CU911" s="250">
        <f>750+500</f>
        <v>1250</v>
      </c>
      <c r="CX911" s="260">
        <f>42+75</f>
        <v>117</v>
      </c>
      <c r="CY911" s="187">
        <v>707</v>
      </c>
      <c r="DC911" s="187">
        <v>-250</v>
      </c>
      <c r="DD911" s="187">
        <v>-109.67877</v>
      </c>
      <c r="DE911" s="187">
        <v>250</v>
      </c>
      <c r="DJ911" s="187">
        <v>300</v>
      </c>
    </row>
    <row r="912" spans="1:114" ht="93.75" hidden="1" x14ac:dyDescent="0.3">
      <c r="A912" s="138" t="s">
        <v>278</v>
      </c>
      <c r="B912" s="11">
        <v>936</v>
      </c>
      <c r="C912" s="12" t="s">
        <v>209</v>
      </c>
      <c r="D912" s="12" t="s">
        <v>115</v>
      </c>
      <c r="E912" s="12" t="s">
        <v>279</v>
      </c>
      <c r="F912" s="12" t="s">
        <v>50</v>
      </c>
      <c r="G912" s="53">
        <f>G913</f>
        <v>0</v>
      </c>
      <c r="H912" s="111"/>
      <c r="I912" s="112"/>
      <c r="J912" s="111"/>
      <c r="K912" s="76"/>
      <c r="L912" s="75"/>
      <c r="M912" s="75"/>
      <c r="AG912" s="75"/>
      <c r="AH912" s="75"/>
    </row>
    <row r="913" spans="1:54" ht="37.5" hidden="1" x14ac:dyDescent="0.3">
      <c r="A913" s="138" t="s">
        <v>58</v>
      </c>
      <c r="B913" s="11">
        <v>936</v>
      </c>
      <c r="C913" s="12" t="s">
        <v>209</v>
      </c>
      <c r="D913" s="12" t="s">
        <v>115</v>
      </c>
      <c r="E913" s="12" t="s">
        <v>279</v>
      </c>
      <c r="F913" s="12" t="s">
        <v>59</v>
      </c>
      <c r="G913" s="53">
        <v>0</v>
      </c>
      <c r="H913" s="111"/>
      <c r="I913" s="112"/>
      <c r="J913" s="111"/>
      <c r="K913" s="76"/>
      <c r="L913" s="75"/>
      <c r="M913" s="75"/>
      <c r="AG913" s="75"/>
      <c r="AH913" s="75"/>
    </row>
    <row r="914" spans="1:54" ht="85.5" customHeight="1" x14ac:dyDescent="0.3">
      <c r="A914" s="138" t="s">
        <v>656</v>
      </c>
      <c r="B914" s="11">
        <v>936</v>
      </c>
      <c r="C914" s="12" t="s">
        <v>209</v>
      </c>
      <c r="D914" s="12" t="s">
        <v>115</v>
      </c>
      <c r="E914" s="12" t="s">
        <v>657</v>
      </c>
      <c r="F914" s="12" t="s">
        <v>50</v>
      </c>
      <c r="G914" s="53">
        <f>G915+G926</f>
        <v>44573.299999999996</v>
      </c>
      <c r="H914" s="111"/>
      <c r="I914" s="112"/>
      <c r="J914" s="111"/>
      <c r="K914" s="76"/>
      <c r="L914" s="75"/>
      <c r="M914" s="75"/>
      <c r="AG914" s="75"/>
      <c r="AH914" s="75"/>
    </row>
    <row r="915" spans="1:54" hidden="1" x14ac:dyDescent="0.3">
      <c r="A915" s="158" t="s">
        <v>83</v>
      </c>
      <c r="B915" s="11">
        <v>936</v>
      </c>
      <c r="C915" s="12" t="s">
        <v>209</v>
      </c>
      <c r="D915" s="12" t="s">
        <v>115</v>
      </c>
      <c r="E915" s="12" t="s">
        <v>658</v>
      </c>
      <c r="F915" s="12" t="s">
        <v>50</v>
      </c>
      <c r="G915" s="53">
        <f>G920+G916+G918</f>
        <v>44528.7</v>
      </c>
      <c r="H915" s="111"/>
      <c r="I915" s="112"/>
      <c r="J915" s="111"/>
      <c r="K915" s="76"/>
      <c r="L915" s="75"/>
      <c r="M915" s="75"/>
      <c r="AG915" s="75"/>
      <c r="AH915" s="75"/>
    </row>
    <row r="916" spans="1:54" ht="37.5" hidden="1" x14ac:dyDescent="0.3">
      <c r="A916" s="160" t="s">
        <v>783</v>
      </c>
      <c r="B916" s="11">
        <v>936</v>
      </c>
      <c r="C916" s="12" t="s">
        <v>209</v>
      </c>
      <c r="D916" s="12" t="s">
        <v>115</v>
      </c>
      <c r="E916" s="12" t="s">
        <v>781</v>
      </c>
      <c r="F916" s="12" t="s">
        <v>50</v>
      </c>
      <c r="G916" s="53">
        <f>G917</f>
        <v>0</v>
      </c>
      <c r="H916" s="111"/>
      <c r="I916" s="112"/>
      <c r="J916" s="111"/>
      <c r="K916" s="76"/>
      <c r="L916" s="75"/>
      <c r="M916" s="75"/>
      <c r="AG916" s="75"/>
      <c r="AH916" s="75"/>
    </row>
    <row r="917" spans="1:54" ht="56.25" hidden="1" x14ac:dyDescent="0.3">
      <c r="A917" s="138" t="s">
        <v>290</v>
      </c>
      <c r="B917" s="11">
        <v>936</v>
      </c>
      <c r="C917" s="12" t="s">
        <v>209</v>
      </c>
      <c r="D917" s="12" t="s">
        <v>115</v>
      </c>
      <c r="E917" s="12" t="s">
        <v>781</v>
      </c>
      <c r="F917" s="12" t="s">
        <v>291</v>
      </c>
      <c r="G917" s="53">
        <v>0</v>
      </c>
      <c r="H917" s="111"/>
      <c r="I917" s="112"/>
      <c r="J917" s="111"/>
      <c r="K917" s="76"/>
      <c r="L917" s="75"/>
      <c r="M917" s="75"/>
      <c r="AG917" s="75"/>
      <c r="AH917" s="75"/>
      <c r="BB917" s="187">
        <v>1376</v>
      </c>
    </row>
    <row r="918" spans="1:54" ht="37.5" hidden="1" x14ac:dyDescent="0.3">
      <c r="A918" s="160" t="s">
        <v>783</v>
      </c>
      <c r="B918" s="11">
        <v>936</v>
      </c>
      <c r="C918" s="12" t="s">
        <v>209</v>
      </c>
      <c r="D918" s="12" t="s">
        <v>115</v>
      </c>
      <c r="E918" s="12" t="s">
        <v>782</v>
      </c>
      <c r="F918" s="12" t="s">
        <v>50</v>
      </c>
      <c r="G918" s="53">
        <f>G919</f>
        <v>0</v>
      </c>
      <c r="H918" s="111"/>
      <c r="I918" s="112"/>
      <c r="J918" s="111"/>
      <c r="K918" s="76"/>
      <c r="L918" s="75"/>
      <c r="M918" s="75"/>
      <c r="AG918" s="75"/>
      <c r="AH918" s="75"/>
    </row>
    <row r="919" spans="1:54" ht="56.25" hidden="1" x14ac:dyDescent="0.3">
      <c r="A919" s="138" t="s">
        <v>290</v>
      </c>
      <c r="B919" s="11">
        <v>936</v>
      </c>
      <c r="C919" s="12" t="s">
        <v>209</v>
      </c>
      <c r="D919" s="12" t="s">
        <v>115</v>
      </c>
      <c r="E919" s="12" t="s">
        <v>782</v>
      </c>
      <c r="F919" s="12" t="s">
        <v>291</v>
      </c>
      <c r="G919" s="53">
        <v>0</v>
      </c>
      <c r="H919" s="111"/>
      <c r="I919" s="112"/>
      <c r="J919" s="111"/>
      <c r="K919" s="76"/>
      <c r="L919" s="75"/>
      <c r="M919" s="75"/>
      <c r="AG919" s="75"/>
      <c r="AH919" s="75"/>
      <c r="BB919" s="187">
        <v>30.87</v>
      </c>
    </row>
    <row r="920" spans="1:54" ht="37.5" hidden="1" x14ac:dyDescent="0.3">
      <c r="A920" s="160" t="s">
        <v>351</v>
      </c>
      <c r="B920" s="11">
        <v>936</v>
      </c>
      <c r="C920" s="12" t="s">
        <v>209</v>
      </c>
      <c r="D920" s="12" t="s">
        <v>115</v>
      </c>
      <c r="E920" s="12" t="s">
        <v>659</v>
      </c>
      <c r="F920" s="12" t="s">
        <v>50</v>
      </c>
      <c r="G920" s="53">
        <f>G921</f>
        <v>44528.7</v>
      </c>
      <c r="H920" s="111"/>
      <c r="I920" s="112"/>
      <c r="J920" s="111"/>
      <c r="K920" s="76"/>
      <c r="L920" s="75"/>
      <c r="M920" s="75"/>
      <c r="AG920" s="75"/>
      <c r="AH920" s="75"/>
    </row>
    <row r="921" spans="1:54" ht="56.25" hidden="1" x14ac:dyDescent="0.3">
      <c r="A921" s="160" t="s">
        <v>660</v>
      </c>
      <c r="B921" s="11">
        <v>936</v>
      </c>
      <c r="C921" s="12" t="s">
        <v>209</v>
      </c>
      <c r="D921" s="12" t="s">
        <v>115</v>
      </c>
      <c r="E921" s="12" t="s">
        <v>661</v>
      </c>
      <c r="F921" s="12" t="s">
        <v>50</v>
      </c>
      <c r="G921" s="53">
        <f>G922+G924</f>
        <v>44528.7</v>
      </c>
      <c r="H921" s="111"/>
      <c r="I921" s="112"/>
      <c r="J921" s="111"/>
      <c r="K921" s="76"/>
      <c r="L921" s="75"/>
      <c r="M921" s="75"/>
      <c r="AG921" s="75"/>
      <c r="AH921" s="75"/>
    </row>
    <row r="922" spans="1:54" ht="64.5" customHeight="1" x14ac:dyDescent="0.3">
      <c r="A922" s="224" t="s">
        <v>1172</v>
      </c>
      <c r="B922" s="11">
        <v>936</v>
      </c>
      <c r="C922" s="12" t="s">
        <v>209</v>
      </c>
      <c r="D922" s="12" t="s">
        <v>115</v>
      </c>
      <c r="E922" s="108" t="s">
        <v>1170</v>
      </c>
      <c r="F922" s="12" t="s">
        <v>50</v>
      </c>
      <c r="G922" s="53">
        <f>G923</f>
        <v>28014.3</v>
      </c>
      <c r="H922" s="111"/>
      <c r="I922" s="112"/>
      <c r="J922" s="111"/>
      <c r="K922" s="76"/>
      <c r="L922" s="75"/>
      <c r="M922" s="75"/>
      <c r="AG922" s="75"/>
      <c r="AH922" s="75"/>
    </row>
    <row r="923" spans="1:54" ht="56.25" x14ac:dyDescent="0.3">
      <c r="A923" s="138" t="s">
        <v>290</v>
      </c>
      <c r="B923" s="11">
        <v>936</v>
      </c>
      <c r="C923" s="12" t="s">
        <v>209</v>
      </c>
      <c r="D923" s="12" t="s">
        <v>115</v>
      </c>
      <c r="E923" s="108" t="s">
        <v>1170</v>
      </c>
      <c r="F923" s="12" t="s">
        <v>291</v>
      </c>
      <c r="G923" s="53">
        <v>28014.3</v>
      </c>
      <c r="H923" s="111"/>
      <c r="I923" s="112"/>
      <c r="J923" s="111"/>
      <c r="K923" s="76"/>
      <c r="L923" s="75"/>
      <c r="M923" s="75"/>
      <c r="AG923" s="75"/>
      <c r="AH923" s="75"/>
      <c r="AK923" s="75">
        <v>0</v>
      </c>
      <c r="BB923" s="187">
        <v>1252.68481</v>
      </c>
    </row>
    <row r="924" spans="1:54" ht="56.25" x14ac:dyDescent="0.3">
      <c r="A924" s="224" t="s">
        <v>662</v>
      </c>
      <c r="B924" s="11">
        <v>936</v>
      </c>
      <c r="C924" s="12" t="s">
        <v>209</v>
      </c>
      <c r="D924" s="12" t="s">
        <v>115</v>
      </c>
      <c r="E924" s="108" t="s">
        <v>1171</v>
      </c>
      <c r="F924" s="12" t="s">
        <v>50</v>
      </c>
      <c r="G924" s="53">
        <f>G925</f>
        <v>16514.400000000001</v>
      </c>
      <c r="H924" s="111"/>
      <c r="I924" s="112"/>
      <c r="J924" s="111"/>
      <c r="K924" s="76"/>
      <c r="L924" s="75"/>
      <c r="M924" s="75"/>
      <c r="AG924" s="75"/>
      <c r="AH924" s="75"/>
    </row>
    <row r="925" spans="1:54" ht="56.25" x14ac:dyDescent="0.3">
      <c r="A925" s="138" t="s">
        <v>290</v>
      </c>
      <c r="B925" s="11">
        <v>936</v>
      </c>
      <c r="C925" s="12" t="s">
        <v>209</v>
      </c>
      <c r="D925" s="12" t="s">
        <v>115</v>
      </c>
      <c r="E925" s="108" t="s">
        <v>1171</v>
      </c>
      <c r="F925" s="12" t="s">
        <v>291</v>
      </c>
      <c r="G925" s="53">
        <f>-44.6+16559</f>
        <v>16514.400000000001</v>
      </c>
      <c r="H925" s="111"/>
      <c r="I925" s="112"/>
      <c r="J925" s="111"/>
      <c r="K925" s="76"/>
      <c r="L925" s="75"/>
      <c r="M925" s="75"/>
      <c r="AG925" s="75"/>
      <c r="AH925" s="75"/>
      <c r="AK925" s="75">
        <v>0</v>
      </c>
      <c r="BB925" s="187">
        <v>427.47381999999999</v>
      </c>
    </row>
    <row r="926" spans="1:54" ht="56.25" x14ac:dyDescent="0.3">
      <c r="A926" s="224" t="s">
        <v>1173</v>
      </c>
      <c r="B926" s="11">
        <v>936</v>
      </c>
      <c r="C926" s="12" t="s">
        <v>209</v>
      </c>
      <c r="D926" s="12" t="s">
        <v>115</v>
      </c>
      <c r="E926" s="108" t="s">
        <v>1174</v>
      </c>
      <c r="F926" s="12" t="s">
        <v>50</v>
      </c>
      <c r="G926" s="53">
        <f>G927</f>
        <v>44.6</v>
      </c>
      <c r="H926" s="111"/>
      <c r="I926" s="112"/>
      <c r="J926" s="111"/>
      <c r="K926" s="76"/>
      <c r="L926" s="75"/>
      <c r="M926" s="75"/>
      <c r="AG926" s="75"/>
      <c r="AH926" s="75"/>
    </row>
    <row r="927" spans="1:54" ht="56.25" x14ac:dyDescent="0.3">
      <c r="A927" s="138" t="s">
        <v>290</v>
      </c>
      <c r="B927" s="11">
        <v>936</v>
      </c>
      <c r="C927" s="12" t="s">
        <v>209</v>
      </c>
      <c r="D927" s="12" t="s">
        <v>115</v>
      </c>
      <c r="E927" s="108" t="s">
        <v>1174</v>
      </c>
      <c r="F927" s="12" t="s">
        <v>291</v>
      </c>
      <c r="G927" s="53">
        <v>44.6</v>
      </c>
      <c r="H927" s="111"/>
      <c r="I927" s="112"/>
      <c r="J927" s="111"/>
      <c r="K927" s="76"/>
      <c r="L927" s="75"/>
      <c r="M927" s="75"/>
      <c r="AG927" s="75"/>
      <c r="AH927" s="75"/>
    </row>
    <row r="928" spans="1:54" x14ac:dyDescent="0.3">
      <c r="A928" s="150" t="s">
        <v>280</v>
      </c>
      <c r="B928" s="10">
        <v>936</v>
      </c>
      <c r="C928" s="7" t="s">
        <v>209</v>
      </c>
      <c r="D928" s="7" t="s">
        <v>116</v>
      </c>
      <c r="E928" s="10" t="s">
        <v>49</v>
      </c>
      <c r="F928" s="7" t="s">
        <v>50</v>
      </c>
      <c r="G928" s="64">
        <f>G929+G962</f>
        <v>436669.86</v>
      </c>
      <c r="H928" s="111"/>
      <c r="I928" s="112"/>
      <c r="J928" s="111"/>
      <c r="K928" s="76"/>
      <c r="L928" s="75"/>
      <c r="M928" s="75"/>
      <c r="AG928" s="75"/>
      <c r="AH928" s="75"/>
    </row>
    <row r="929" spans="1:118" ht="41.25" customHeight="1" x14ac:dyDescent="0.3">
      <c r="A929" s="151" t="s">
        <v>161</v>
      </c>
      <c r="B929" s="11">
        <v>936</v>
      </c>
      <c r="C929" s="12" t="s">
        <v>209</v>
      </c>
      <c r="D929" s="12" t="s">
        <v>116</v>
      </c>
      <c r="E929" s="13" t="s">
        <v>99</v>
      </c>
      <c r="F929" s="12" t="s">
        <v>50</v>
      </c>
      <c r="G929" s="53">
        <f>G930+G939+G958+G947</f>
        <v>19429.859999999997</v>
      </c>
      <c r="H929" s="111"/>
      <c r="I929" s="112"/>
      <c r="J929" s="111"/>
      <c r="K929" s="76"/>
      <c r="L929" s="75"/>
      <c r="M929" s="75"/>
      <c r="AG929" s="75"/>
      <c r="AH929" s="75"/>
    </row>
    <row r="930" spans="1:118" ht="56.25" x14ac:dyDescent="0.3">
      <c r="A930" s="151" t="s">
        <v>9</v>
      </c>
      <c r="B930" s="11">
        <v>936</v>
      </c>
      <c r="C930" s="12" t="s">
        <v>209</v>
      </c>
      <c r="D930" s="12" t="s">
        <v>116</v>
      </c>
      <c r="E930" s="13" t="s">
        <v>101</v>
      </c>
      <c r="F930" s="12" t="s">
        <v>50</v>
      </c>
      <c r="G930" s="53">
        <f>G931+G936</f>
        <v>904</v>
      </c>
      <c r="H930" s="111"/>
      <c r="I930" s="112"/>
      <c r="J930" s="111"/>
      <c r="K930" s="76"/>
      <c r="L930" s="75"/>
      <c r="M930" s="75"/>
      <c r="AG930" s="75"/>
      <c r="AH930" s="75"/>
    </row>
    <row r="931" spans="1:118" x14ac:dyDescent="0.3">
      <c r="A931" s="138" t="s">
        <v>62</v>
      </c>
      <c r="B931" s="11">
        <v>936</v>
      </c>
      <c r="C931" s="12" t="s">
        <v>209</v>
      </c>
      <c r="D931" s="12" t="s">
        <v>116</v>
      </c>
      <c r="E931" s="12" t="s">
        <v>268</v>
      </c>
      <c r="F931" s="12" t="s">
        <v>50</v>
      </c>
      <c r="G931" s="53">
        <f>G932</f>
        <v>904</v>
      </c>
      <c r="H931" s="111"/>
      <c r="I931" s="112"/>
      <c r="J931" s="111"/>
      <c r="K931" s="76"/>
      <c r="L931" s="75"/>
      <c r="M931" s="75"/>
      <c r="AG931" s="75"/>
      <c r="AH931" s="75"/>
    </row>
    <row r="932" spans="1:118" ht="56.25" x14ac:dyDescent="0.3">
      <c r="A932" s="138" t="s">
        <v>276</v>
      </c>
      <c r="B932" s="11">
        <v>936</v>
      </c>
      <c r="C932" s="12" t="s">
        <v>209</v>
      </c>
      <c r="D932" s="12" t="s">
        <v>116</v>
      </c>
      <c r="E932" s="12" t="s">
        <v>277</v>
      </c>
      <c r="F932" s="12" t="s">
        <v>50</v>
      </c>
      <c r="G932" s="53">
        <f>G933+G938</f>
        <v>904</v>
      </c>
      <c r="H932" s="111"/>
      <c r="I932" s="112"/>
      <c r="J932" s="111"/>
      <c r="K932" s="76"/>
      <c r="L932" s="75"/>
      <c r="M932" s="75"/>
      <c r="AG932" s="75"/>
      <c r="AH932" s="75"/>
    </row>
    <row r="933" spans="1:118" ht="37.5" x14ac:dyDescent="0.3">
      <c r="A933" s="138" t="s">
        <v>425</v>
      </c>
      <c r="B933" s="11">
        <v>936</v>
      </c>
      <c r="C933" s="12" t="s">
        <v>209</v>
      </c>
      <c r="D933" s="12" t="s">
        <v>116</v>
      </c>
      <c r="E933" s="12" t="s">
        <v>277</v>
      </c>
      <c r="F933" s="12" t="s">
        <v>59</v>
      </c>
      <c r="G933" s="53">
        <f>404+DH933+DJ933</f>
        <v>404</v>
      </c>
      <c r="H933" s="111"/>
      <c r="I933" s="112"/>
      <c r="J933" s="111"/>
      <c r="K933" s="76"/>
      <c r="L933" s="75"/>
      <c r="M933" s="75"/>
      <c r="AG933" s="75"/>
      <c r="AH933" s="75"/>
      <c r="DH933" s="187">
        <v>300</v>
      </c>
      <c r="DJ933" s="187">
        <v>-300</v>
      </c>
    </row>
    <row r="934" spans="1:118" hidden="1" x14ac:dyDescent="0.3">
      <c r="A934" s="138" t="s">
        <v>655</v>
      </c>
      <c r="B934" s="11">
        <v>936</v>
      </c>
      <c r="C934" s="12" t="s">
        <v>209</v>
      </c>
      <c r="D934" s="12" t="s">
        <v>116</v>
      </c>
      <c r="E934" s="12" t="s">
        <v>654</v>
      </c>
      <c r="F934" s="12" t="s">
        <v>50</v>
      </c>
      <c r="G934" s="53">
        <f>G935</f>
        <v>0</v>
      </c>
      <c r="H934" s="111"/>
      <c r="I934" s="112"/>
      <c r="J934" s="111"/>
      <c r="K934" s="76"/>
      <c r="L934" s="75"/>
      <c r="M934" s="75"/>
      <c r="AG934" s="75"/>
      <c r="AH934" s="75"/>
    </row>
    <row r="935" spans="1:118" ht="37.5" hidden="1" x14ac:dyDescent="0.3">
      <c r="A935" s="138" t="s">
        <v>58</v>
      </c>
      <c r="B935" s="11">
        <v>936</v>
      </c>
      <c r="C935" s="12" t="s">
        <v>209</v>
      </c>
      <c r="D935" s="12" t="s">
        <v>116</v>
      </c>
      <c r="E935" s="12" t="s">
        <v>654</v>
      </c>
      <c r="F935" s="12" t="s">
        <v>59</v>
      </c>
      <c r="G935" s="53">
        <v>0</v>
      </c>
      <c r="H935" s="111"/>
      <c r="I935" s="112"/>
      <c r="J935" s="111"/>
      <c r="K935" s="76"/>
      <c r="L935" s="75"/>
      <c r="M935" s="75"/>
      <c r="AE935">
        <v>73.156679999999994</v>
      </c>
      <c r="AG935" s="75"/>
      <c r="AH935" s="75"/>
      <c r="AK935" s="75">
        <v>231.8</v>
      </c>
    </row>
    <row r="936" spans="1:118" hidden="1" x14ac:dyDescent="0.3">
      <c r="A936" s="177" t="s">
        <v>717</v>
      </c>
      <c r="B936" s="11">
        <v>936</v>
      </c>
      <c r="C936" s="12" t="s">
        <v>209</v>
      </c>
      <c r="D936" s="12" t="s">
        <v>116</v>
      </c>
      <c r="E936" s="12" t="s">
        <v>786</v>
      </c>
      <c r="F936" s="12" t="s">
        <v>50</v>
      </c>
      <c r="G936" s="53">
        <f>G937</f>
        <v>0</v>
      </c>
      <c r="H936" s="111"/>
      <c r="I936" s="112"/>
      <c r="J936" s="111"/>
      <c r="K936" s="76"/>
      <c r="L936" s="75"/>
      <c r="M936" s="75"/>
      <c r="AG936" s="75"/>
      <c r="AH936" s="75"/>
    </row>
    <row r="937" spans="1:118" ht="56.25" hidden="1" x14ac:dyDescent="0.3">
      <c r="A937" s="138" t="s">
        <v>290</v>
      </c>
      <c r="B937" s="11">
        <v>936</v>
      </c>
      <c r="C937" s="12" t="s">
        <v>209</v>
      </c>
      <c r="D937" s="12" t="s">
        <v>116</v>
      </c>
      <c r="E937" s="12" t="s">
        <v>786</v>
      </c>
      <c r="F937" s="12" t="s">
        <v>291</v>
      </c>
      <c r="G937" s="53">
        <v>0</v>
      </c>
      <c r="H937" s="111"/>
      <c r="I937" s="112"/>
      <c r="J937" s="111"/>
      <c r="K937" s="76"/>
      <c r="L937" s="75"/>
      <c r="M937" s="75"/>
      <c r="AG937" s="75"/>
      <c r="AH937" s="75"/>
      <c r="BD937" s="218">
        <v>8162.9</v>
      </c>
    </row>
    <row r="938" spans="1:118" x14ac:dyDescent="0.3">
      <c r="A938" s="158" t="s">
        <v>60</v>
      </c>
      <c r="B938" s="11">
        <v>936</v>
      </c>
      <c r="C938" s="12" t="s">
        <v>209</v>
      </c>
      <c r="D938" s="12" t="s">
        <v>116</v>
      </c>
      <c r="E938" s="12" t="s">
        <v>277</v>
      </c>
      <c r="F938" s="12" t="s">
        <v>61</v>
      </c>
      <c r="G938" s="53">
        <f>DN938</f>
        <v>500</v>
      </c>
      <c r="H938" s="111"/>
      <c r="I938" s="112"/>
      <c r="J938" s="111"/>
      <c r="K938" s="76"/>
      <c r="L938" s="75"/>
      <c r="M938" s="75"/>
      <c r="AG938" s="75"/>
      <c r="AH938" s="75"/>
      <c r="DN938" s="260">
        <v>500</v>
      </c>
    </row>
    <row r="939" spans="1:118" ht="37.5" x14ac:dyDescent="0.3">
      <c r="A939" s="157" t="s">
        <v>10</v>
      </c>
      <c r="B939" s="11">
        <v>936</v>
      </c>
      <c r="C939" s="12" t="s">
        <v>209</v>
      </c>
      <c r="D939" s="12" t="s">
        <v>116</v>
      </c>
      <c r="E939" s="13" t="s">
        <v>28</v>
      </c>
      <c r="F939" s="12" t="s">
        <v>50</v>
      </c>
      <c r="G939" s="53">
        <f>G940+G945+G954</f>
        <v>2807</v>
      </c>
      <c r="H939" s="111"/>
      <c r="I939" s="112"/>
      <c r="J939" s="111"/>
      <c r="K939" s="76"/>
      <c r="L939" s="75"/>
      <c r="M939" s="75"/>
      <c r="AG939" s="75"/>
      <c r="AH939" s="75"/>
    </row>
    <row r="940" spans="1:118" x14ac:dyDescent="0.3">
      <c r="A940" s="138" t="s">
        <v>62</v>
      </c>
      <c r="B940" s="11">
        <v>936</v>
      </c>
      <c r="C940" s="12" t="s">
        <v>209</v>
      </c>
      <c r="D940" s="6" t="s">
        <v>116</v>
      </c>
      <c r="E940" s="12" t="s">
        <v>282</v>
      </c>
      <c r="F940" s="12" t="s">
        <v>50</v>
      </c>
      <c r="G940" s="53">
        <f>G941+G943+G952</f>
        <v>2807</v>
      </c>
      <c r="H940" s="111"/>
      <c r="I940" s="112"/>
      <c r="J940" s="111"/>
      <c r="K940" s="76"/>
      <c r="L940" s="75"/>
      <c r="M940" s="75"/>
      <c r="AG940" s="75"/>
      <c r="AH940" s="75"/>
    </row>
    <row r="941" spans="1:118" ht="56.25" x14ac:dyDescent="0.3">
      <c r="A941" s="138" t="s">
        <v>281</v>
      </c>
      <c r="B941" s="11">
        <v>936</v>
      </c>
      <c r="C941" s="12" t="s">
        <v>209</v>
      </c>
      <c r="D941" s="6" t="s">
        <v>116</v>
      </c>
      <c r="E941" s="12" t="s">
        <v>283</v>
      </c>
      <c r="F941" s="12" t="s">
        <v>50</v>
      </c>
      <c r="G941" s="53">
        <f>G942</f>
        <v>2140</v>
      </c>
      <c r="H941" s="111"/>
      <c r="I941" s="112"/>
      <c r="J941" s="111"/>
      <c r="K941" s="76"/>
      <c r="L941" s="75"/>
      <c r="M941" s="75"/>
      <c r="AG941" s="75"/>
      <c r="AH941" s="75"/>
    </row>
    <row r="942" spans="1:118" ht="37.5" x14ac:dyDescent="0.3">
      <c r="A942" s="138" t="s">
        <v>425</v>
      </c>
      <c r="B942" s="11">
        <v>936</v>
      </c>
      <c r="C942" s="12" t="s">
        <v>209</v>
      </c>
      <c r="D942" s="6" t="s">
        <v>116</v>
      </c>
      <c r="E942" s="12" t="s">
        <v>283</v>
      </c>
      <c r="F942" s="12" t="s">
        <v>59</v>
      </c>
      <c r="G942" s="68">
        <f>CR942+CU942+CV942+DC942+DH942</f>
        <v>2140</v>
      </c>
      <c r="H942" s="111">
        <v>600</v>
      </c>
      <c r="I942" s="112"/>
      <c r="J942" s="111"/>
      <c r="K942" s="76"/>
      <c r="L942" s="75"/>
      <c r="M942" s="75"/>
      <c r="T942">
        <v>285</v>
      </c>
      <c r="U942">
        <v>95</v>
      </c>
      <c r="Z942">
        <v>95</v>
      </c>
      <c r="AC942">
        <v>95</v>
      </c>
      <c r="AE942">
        <v>95</v>
      </c>
      <c r="AG942" s="75"/>
      <c r="AH942" s="75">
        <v>190</v>
      </c>
      <c r="AK942" s="75">
        <v>380</v>
      </c>
      <c r="AV942" s="187">
        <v>360</v>
      </c>
      <c r="BH942" s="225">
        <v>360</v>
      </c>
      <c r="BK942" s="218">
        <v>120</v>
      </c>
      <c r="BN942" s="229">
        <v>360</v>
      </c>
      <c r="BX942" s="146">
        <v>720</v>
      </c>
      <c r="CH942" s="250">
        <v>400</v>
      </c>
      <c r="CP942" s="251">
        <v>120</v>
      </c>
      <c r="CR942" s="94">
        <v>420</v>
      </c>
      <c r="CU942" s="250">
        <v>600</v>
      </c>
      <c r="CV942" s="259">
        <v>560</v>
      </c>
      <c r="DC942" s="187">
        <v>280</v>
      </c>
      <c r="DH942" s="187">
        <v>280</v>
      </c>
    </row>
    <row r="943" spans="1:118" hidden="1" x14ac:dyDescent="0.3">
      <c r="A943" s="138" t="s">
        <v>289</v>
      </c>
      <c r="B943" s="11">
        <v>936</v>
      </c>
      <c r="C943" s="12" t="s">
        <v>209</v>
      </c>
      <c r="D943" s="6" t="s">
        <v>116</v>
      </c>
      <c r="E943" s="12" t="s">
        <v>292</v>
      </c>
      <c r="F943" s="12" t="s">
        <v>50</v>
      </c>
      <c r="G943" s="68">
        <f>G944</f>
        <v>0</v>
      </c>
      <c r="H943" s="111"/>
      <c r="I943" s="112"/>
      <c r="J943" s="111"/>
      <c r="K943" s="76"/>
      <c r="L943" s="75"/>
      <c r="M943" s="75"/>
      <c r="AG943" s="75"/>
      <c r="AH943" s="75"/>
    </row>
    <row r="944" spans="1:118" ht="37.5" hidden="1" x14ac:dyDescent="0.3">
      <c r="A944" s="138" t="s">
        <v>425</v>
      </c>
      <c r="B944" s="11">
        <v>936</v>
      </c>
      <c r="C944" s="12" t="s">
        <v>209</v>
      </c>
      <c r="D944" s="6" t="s">
        <v>116</v>
      </c>
      <c r="E944" s="12" t="s">
        <v>292</v>
      </c>
      <c r="F944" s="12" t="s">
        <v>59</v>
      </c>
      <c r="G944" s="68">
        <v>0</v>
      </c>
      <c r="H944" s="111"/>
      <c r="I944" s="112"/>
      <c r="J944" s="111"/>
      <c r="K944" s="76"/>
      <c r="L944" s="75"/>
      <c r="M944" s="75"/>
      <c r="N944">
        <v>400</v>
      </c>
      <c r="W944">
        <v>110</v>
      </c>
      <c r="AC944">
        <v>115</v>
      </c>
      <c r="AD944">
        <v>-115</v>
      </c>
      <c r="AG944" s="75"/>
      <c r="AH944" s="75"/>
      <c r="AK944" s="75">
        <v>0</v>
      </c>
      <c r="BU944" s="146">
        <v>10</v>
      </c>
      <c r="CR944" s="94">
        <v>404</v>
      </c>
    </row>
    <row r="945" spans="1:112" ht="56.25" hidden="1" x14ac:dyDescent="0.3">
      <c r="A945" s="159" t="s">
        <v>495</v>
      </c>
      <c r="B945" s="11">
        <v>936</v>
      </c>
      <c r="C945" s="12" t="s">
        <v>209</v>
      </c>
      <c r="D945" s="6" t="s">
        <v>116</v>
      </c>
      <c r="E945" s="12" t="s">
        <v>617</v>
      </c>
      <c r="F945" s="12" t="s">
        <v>50</v>
      </c>
      <c r="G945" s="68">
        <f>G946</f>
        <v>0</v>
      </c>
      <c r="H945" s="111"/>
      <c r="I945" s="112"/>
      <c r="J945" s="111"/>
      <c r="K945" s="76"/>
      <c r="L945" s="75"/>
      <c r="M945" s="75"/>
      <c r="AG945" s="75"/>
      <c r="AH945" s="75"/>
    </row>
    <row r="946" spans="1:112" hidden="1" x14ac:dyDescent="0.3">
      <c r="A946" s="158" t="s">
        <v>60</v>
      </c>
      <c r="B946" s="11">
        <v>936</v>
      </c>
      <c r="C946" s="12" t="s">
        <v>209</v>
      </c>
      <c r="D946" s="6" t="s">
        <v>116</v>
      </c>
      <c r="E946" s="12" t="s">
        <v>617</v>
      </c>
      <c r="F946" s="12" t="s">
        <v>61</v>
      </c>
      <c r="G946" s="68">
        <v>0</v>
      </c>
      <c r="H946" s="111">
        <v>2600</v>
      </c>
      <c r="I946" s="112"/>
      <c r="J946" s="111"/>
      <c r="K946" s="76"/>
      <c r="L946" s="75"/>
      <c r="M946" s="75"/>
      <c r="AG946" s="75"/>
      <c r="AH946" s="75"/>
      <c r="AS946" s="187">
        <v>550.96</v>
      </c>
    </row>
    <row r="947" spans="1:112" hidden="1" x14ac:dyDescent="0.3">
      <c r="A947" s="138" t="s">
        <v>409</v>
      </c>
      <c r="B947" s="11">
        <v>936</v>
      </c>
      <c r="C947" s="12" t="s">
        <v>209</v>
      </c>
      <c r="D947" s="6" t="s">
        <v>116</v>
      </c>
      <c r="E947" s="12" t="s">
        <v>421</v>
      </c>
      <c r="F947" s="12" t="s">
        <v>50</v>
      </c>
      <c r="G947" s="68">
        <f>G948+G950+G956</f>
        <v>15718.859999999997</v>
      </c>
      <c r="H947" s="111"/>
      <c r="I947" s="112"/>
      <c r="J947" s="111"/>
      <c r="K947" s="76"/>
      <c r="L947" s="75"/>
      <c r="M947" s="75"/>
      <c r="AG947" s="75"/>
      <c r="AH947" s="75"/>
    </row>
    <row r="948" spans="1:112" ht="37.5" x14ac:dyDescent="0.3">
      <c r="A948" s="224" t="s">
        <v>972</v>
      </c>
      <c r="B948" s="11">
        <v>936</v>
      </c>
      <c r="C948" s="12" t="s">
        <v>209</v>
      </c>
      <c r="D948" s="6" t="s">
        <v>116</v>
      </c>
      <c r="E948" s="12" t="s">
        <v>1152</v>
      </c>
      <c r="F948" s="12" t="s">
        <v>50</v>
      </c>
      <c r="G948" s="68">
        <f>G949</f>
        <v>14842.199999999997</v>
      </c>
      <c r="H948" s="111"/>
      <c r="I948" s="112"/>
      <c r="J948" s="111"/>
      <c r="K948" s="76"/>
      <c r="L948" s="75"/>
      <c r="M948" s="75"/>
      <c r="AG948" s="75"/>
      <c r="AH948" s="75"/>
    </row>
    <row r="949" spans="1:112" ht="37.5" x14ac:dyDescent="0.3">
      <c r="A949" s="138" t="s">
        <v>425</v>
      </c>
      <c r="B949" s="11">
        <v>936</v>
      </c>
      <c r="C949" s="12" t="s">
        <v>209</v>
      </c>
      <c r="D949" s="6" t="s">
        <v>116</v>
      </c>
      <c r="E949" s="12" t="s">
        <v>1152</v>
      </c>
      <c r="F949" s="12" t="s">
        <v>59</v>
      </c>
      <c r="G949" s="68">
        <f>39691.6+DB949</f>
        <v>14842.199999999997</v>
      </c>
      <c r="H949" s="111"/>
      <c r="I949" s="112"/>
      <c r="J949" s="111"/>
      <c r="K949" s="76"/>
      <c r="L949" s="75"/>
      <c r="M949" s="75"/>
      <c r="AG949" s="75"/>
      <c r="AH949" s="75"/>
      <c r="BB949" s="187">
        <v>35000</v>
      </c>
      <c r="BE949" s="218">
        <v>3221.26</v>
      </c>
      <c r="BK949" s="218">
        <v>-1749.99</v>
      </c>
      <c r="DB949" s="187">
        <v>-24849.4</v>
      </c>
    </row>
    <row r="950" spans="1:112" ht="52.5" customHeight="1" x14ac:dyDescent="0.3">
      <c r="A950" s="224" t="s">
        <v>972</v>
      </c>
      <c r="B950" s="11">
        <v>936</v>
      </c>
      <c r="C950" s="12" t="s">
        <v>209</v>
      </c>
      <c r="D950" s="6" t="s">
        <v>116</v>
      </c>
      <c r="E950" s="12" t="s">
        <v>1153</v>
      </c>
      <c r="F950" s="12" t="s">
        <v>50</v>
      </c>
      <c r="G950" s="68">
        <f>G951</f>
        <v>876.65999999999985</v>
      </c>
      <c r="H950" s="111"/>
      <c r="I950" s="112"/>
      <c r="J950" s="111"/>
      <c r="K950" s="76"/>
      <c r="L950" s="75"/>
      <c r="M950" s="75"/>
      <c r="AG950" s="75"/>
      <c r="AH950" s="75"/>
    </row>
    <row r="951" spans="1:112" ht="37.5" x14ac:dyDescent="0.3">
      <c r="A951" s="138" t="s">
        <v>425</v>
      </c>
      <c r="B951" s="11">
        <v>936</v>
      </c>
      <c r="C951" s="12" t="s">
        <v>209</v>
      </c>
      <c r="D951" s="6" t="s">
        <v>116</v>
      </c>
      <c r="E951" s="12" t="s">
        <v>1153</v>
      </c>
      <c r="F951" s="12" t="s">
        <v>59</v>
      </c>
      <c r="G951" s="68">
        <f>2089.1+CZ951</f>
        <v>876.65999999999985</v>
      </c>
      <c r="H951" s="111"/>
      <c r="I951" s="112"/>
      <c r="J951" s="111"/>
      <c r="K951" s="76"/>
      <c r="L951" s="75"/>
      <c r="M951" s="75"/>
      <c r="AG951" s="75"/>
      <c r="AH951" s="75"/>
      <c r="BB951" s="187">
        <v>1842.2</v>
      </c>
      <c r="BK951" s="218">
        <v>77.400000000000006</v>
      </c>
      <c r="CZ951" s="187">
        <f>-1177.44-35</f>
        <v>-1212.44</v>
      </c>
    </row>
    <row r="952" spans="1:112" ht="75" x14ac:dyDescent="0.3">
      <c r="A952" s="138" t="s">
        <v>966</v>
      </c>
      <c r="B952" s="139">
        <v>936</v>
      </c>
      <c r="C952" s="106" t="s">
        <v>209</v>
      </c>
      <c r="D952" s="106" t="s">
        <v>116</v>
      </c>
      <c r="E952" s="106" t="s">
        <v>967</v>
      </c>
      <c r="F952" s="106" t="s">
        <v>50</v>
      </c>
      <c r="G952" s="68">
        <f>G953</f>
        <v>667</v>
      </c>
      <c r="H952" s="111"/>
      <c r="I952" s="112"/>
      <c r="J952" s="111"/>
      <c r="K952" s="76"/>
      <c r="L952" s="75"/>
      <c r="M952" s="75"/>
      <c r="AG952" s="75"/>
      <c r="AH952" s="75"/>
    </row>
    <row r="953" spans="1:112" ht="37.5" x14ac:dyDescent="0.3">
      <c r="A953" s="138" t="s">
        <v>58</v>
      </c>
      <c r="B953" s="139">
        <v>936</v>
      </c>
      <c r="C953" s="106" t="s">
        <v>209</v>
      </c>
      <c r="D953" s="106" t="s">
        <v>116</v>
      </c>
      <c r="E953" s="106" t="s">
        <v>967</v>
      </c>
      <c r="F953" s="106" t="s">
        <v>59</v>
      </c>
      <c r="G953" s="68">
        <f>CR953+CU953+90+CX953+CZ953+DC953+DH953</f>
        <v>667</v>
      </c>
      <c r="H953" s="111"/>
      <c r="I953" s="112"/>
      <c r="J953" s="111"/>
      <c r="K953" s="76"/>
      <c r="L953" s="75"/>
      <c r="M953" s="75"/>
      <c r="AG953" s="75"/>
      <c r="AH953" s="75"/>
      <c r="CR953" s="94">
        <v>110</v>
      </c>
      <c r="CU953" s="250">
        <v>43</v>
      </c>
      <c r="CX953" s="260">
        <f>7+132</f>
        <v>139</v>
      </c>
      <c r="CZ953" s="187">
        <v>73</v>
      </c>
      <c r="DC953" s="187">
        <v>132</v>
      </c>
      <c r="DH953" s="187">
        <v>80</v>
      </c>
    </row>
    <row r="954" spans="1:112" hidden="1" x14ac:dyDescent="0.3">
      <c r="A954" s="138" t="s">
        <v>790</v>
      </c>
      <c r="B954" s="11">
        <v>936</v>
      </c>
      <c r="C954" s="12" t="s">
        <v>209</v>
      </c>
      <c r="D954" s="6" t="s">
        <v>116</v>
      </c>
      <c r="E954" s="12" t="s">
        <v>943</v>
      </c>
      <c r="F954" s="12" t="s">
        <v>50</v>
      </c>
      <c r="G954" s="68">
        <f>G955</f>
        <v>0</v>
      </c>
      <c r="H954" s="111"/>
      <c r="I954" s="112"/>
      <c r="J954" s="111"/>
      <c r="K954" s="76"/>
      <c r="L954" s="75"/>
      <c r="M954" s="75"/>
      <c r="AG954" s="75"/>
      <c r="AH954" s="75"/>
    </row>
    <row r="955" spans="1:112" hidden="1" x14ac:dyDescent="0.3">
      <c r="A955" s="158" t="s">
        <v>60</v>
      </c>
      <c r="B955" s="11">
        <v>936</v>
      </c>
      <c r="C955" s="12" t="s">
        <v>209</v>
      </c>
      <c r="D955" s="6" t="s">
        <v>116</v>
      </c>
      <c r="E955" s="12" t="s">
        <v>943</v>
      </c>
      <c r="F955" s="12" t="s">
        <v>61</v>
      </c>
      <c r="G955" s="68">
        <v>0</v>
      </c>
      <c r="H955" s="111"/>
      <c r="I955" s="112"/>
      <c r="J955" s="111"/>
      <c r="K955" s="76"/>
      <c r="L955" s="75"/>
      <c r="M955" s="75"/>
      <c r="AG955" s="75"/>
      <c r="AH955" s="75"/>
      <c r="BG955" s="225">
        <v>2044.2</v>
      </c>
      <c r="CI955" s="187">
        <v>7597.2</v>
      </c>
    </row>
    <row r="956" spans="1:112" hidden="1" x14ac:dyDescent="0.3">
      <c r="A956" s="138" t="s">
        <v>790</v>
      </c>
      <c r="B956" s="11">
        <v>936</v>
      </c>
      <c r="C956" s="12" t="s">
        <v>209</v>
      </c>
      <c r="D956" s="6" t="s">
        <v>116</v>
      </c>
      <c r="E956" s="12" t="s">
        <v>796</v>
      </c>
      <c r="F956" s="12" t="s">
        <v>50</v>
      </c>
      <c r="G956" s="68">
        <f>G957</f>
        <v>0</v>
      </c>
      <c r="H956" s="111"/>
      <c r="I956" s="112"/>
      <c r="J956" s="111"/>
      <c r="K956" s="76"/>
      <c r="L956" s="75"/>
      <c r="M956" s="75"/>
      <c r="AG956" s="75"/>
      <c r="AH956" s="75"/>
    </row>
    <row r="957" spans="1:112" hidden="1" x14ac:dyDescent="0.3">
      <c r="A957" s="158" t="s">
        <v>60</v>
      </c>
      <c r="B957" s="11">
        <v>936</v>
      </c>
      <c r="C957" s="12" t="s">
        <v>209</v>
      </c>
      <c r="D957" s="6" t="s">
        <v>116</v>
      </c>
      <c r="E957" s="12" t="s">
        <v>796</v>
      </c>
      <c r="F957" s="12" t="s">
        <v>61</v>
      </c>
      <c r="G957" s="68">
        <v>0</v>
      </c>
      <c r="H957" s="111"/>
      <c r="I957" s="112"/>
      <c r="J957" s="111"/>
      <c r="K957" s="76"/>
      <c r="L957" s="75"/>
      <c r="M957" s="75"/>
      <c r="AG957" s="75"/>
      <c r="AH957" s="75"/>
      <c r="BK957" s="218">
        <v>23484.2</v>
      </c>
    </row>
    <row r="958" spans="1:112" ht="56.25" hidden="1" x14ac:dyDescent="0.3">
      <c r="A958" s="200" t="s">
        <v>16</v>
      </c>
      <c r="B958" s="47">
        <v>936</v>
      </c>
      <c r="C958" s="42" t="s">
        <v>209</v>
      </c>
      <c r="D958" s="69" t="s">
        <v>116</v>
      </c>
      <c r="E958" s="13" t="s">
        <v>32</v>
      </c>
      <c r="F958" s="13" t="s">
        <v>50</v>
      </c>
      <c r="G958" s="68">
        <f>G959</f>
        <v>0</v>
      </c>
      <c r="H958" s="111"/>
      <c r="I958" s="112"/>
      <c r="J958" s="111"/>
      <c r="K958" s="76"/>
      <c r="L958" s="75"/>
      <c r="M958" s="75"/>
      <c r="AG958" s="75"/>
      <c r="AH958" s="75"/>
    </row>
    <row r="959" spans="1:112" hidden="1" x14ac:dyDescent="0.3">
      <c r="A959" s="138" t="s">
        <v>409</v>
      </c>
      <c r="B959" s="47">
        <v>936</v>
      </c>
      <c r="C959" s="42" t="s">
        <v>209</v>
      </c>
      <c r="D959" s="69" t="s">
        <v>116</v>
      </c>
      <c r="E959" s="12" t="s">
        <v>44</v>
      </c>
      <c r="F959" s="12" t="s">
        <v>50</v>
      </c>
      <c r="G959" s="68">
        <f>G960</f>
        <v>0</v>
      </c>
      <c r="H959" s="111"/>
      <c r="I959" s="112"/>
      <c r="J959" s="111"/>
      <c r="K959" s="76"/>
      <c r="L959" s="75"/>
      <c r="M959" s="75"/>
      <c r="AG959" s="75"/>
      <c r="AH959" s="75"/>
    </row>
    <row r="960" spans="1:112" ht="30" hidden="1" customHeight="1" x14ac:dyDescent="0.3">
      <c r="A960" s="138" t="s">
        <v>184</v>
      </c>
      <c r="B960" s="47">
        <v>936</v>
      </c>
      <c r="C960" s="42" t="s">
        <v>209</v>
      </c>
      <c r="D960" s="69" t="s">
        <v>116</v>
      </c>
      <c r="E960" s="42" t="s">
        <v>185</v>
      </c>
      <c r="F960" s="42" t="s">
        <v>50</v>
      </c>
      <c r="G960" s="68">
        <f>G961</f>
        <v>0</v>
      </c>
      <c r="H960" s="111"/>
      <c r="I960" s="112"/>
      <c r="J960" s="111"/>
      <c r="K960" s="76"/>
      <c r="L960" s="75"/>
      <c r="M960" s="75"/>
      <c r="AG960" s="75"/>
      <c r="AH960" s="75"/>
    </row>
    <row r="961" spans="1:111" ht="37.5" hidden="1" x14ac:dyDescent="0.3">
      <c r="A961" s="138" t="s">
        <v>425</v>
      </c>
      <c r="B961" s="47">
        <v>936</v>
      </c>
      <c r="C961" s="42" t="s">
        <v>209</v>
      </c>
      <c r="D961" s="69" t="s">
        <v>116</v>
      </c>
      <c r="E961" s="42" t="s">
        <v>185</v>
      </c>
      <c r="F961" s="42" t="s">
        <v>59</v>
      </c>
      <c r="G961" s="53">
        <v>0</v>
      </c>
      <c r="H961" s="120"/>
      <c r="I961" s="121"/>
      <c r="J961" s="120"/>
      <c r="K961" s="76"/>
      <c r="L961" s="75"/>
      <c r="M961" s="75"/>
      <c r="O961">
        <v>30000</v>
      </c>
      <c r="AG961" s="75"/>
      <c r="AH961" s="75"/>
      <c r="AK961" s="75">
        <v>0</v>
      </c>
      <c r="AN961" s="145">
        <v>17500</v>
      </c>
      <c r="AV961" s="187">
        <v>-1682.9664</v>
      </c>
    </row>
    <row r="962" spans="1:111" ht="56.25" x14ac:dyDescent="0.3">
      <c r="A962" s="151" t="s">
        <v>20</v>
      </c>
      <c r="B962" s="11">
        <v>936</v>
      </c>
      <c r="C962" s="12" t="s">
        <v>209</v>
      </c>
      <c r="D962" s="6" t="s">
        <v>116</v>
      </c>
      <c r="E962" s="13" t="s">
        <v>21</v>
      </c>
      <c r="F962" s="12" t="s">
        <v>50</v>
      </c>
      <c r="G962" s="53">
        <f>G963</f>
        <v>417240</v>
      </c>
      <c r="H962" s="120"/>
      <c r="I962" s="121"/>
      <c r="J962" s="120"/>
      <c r="K962" s="76"/>
      <c r="L962" s="75"/>
      <c r="M962" s="75"/>
      <c r="AG962" s="75"/>
      <c r="AH962" s="75"/>
    </row>
    <row r="963" spans="1:111" ht="56.25" x14ac:dyDescent="0.3">
      <c r="A963" s="138" t="s">
        <v>1157</v>
      </c>
      <c r="B963" s="11">
        <v>936</v>
      </c>
      <c r="C963" s="12" t="s">
        <v>209</v>
      </c>
      <c r="D963" s="6" t="s">
        <v>116</v>
      </c>
      <c r="E963" s="42" t="s">
        <v>1156</v>
      </c>
      <c r="F963" s="42" t="s">
        <v>50</v>
      </c>
      <c r="G963" s="53">
        <f>G964</f>
        <v>417240</v>
      </c>
      <c r="H963" s="120"/>
      <c r="I963" s="121"/>
      <c r="J963" s="120"/>
      <c r="K963" s="76"/>
      <c r="L963" s="75"/>
      <c r="M963" s="75"/>
      <c r="AG963" s="75"/>
      <c r="AH963" s="75"/>
    </row>
    <row r="964" spans="1:111" ht="37.5" x14ac:dyDescent="0.3">
      <c r="A964" s="138" t="s">
        <v>58</v>
      </c>
      <c r="B964" s="11">
        <v>936</v>
      </c>
      <c r="C964" s="12" t="s">
        <v>209</v>
      </c>
      <c r="D964" s="6" t="s">
        <v>116</v>
      </c>
      <c r="E964" s="42" t="s">
        <v>1156</v>
      </c>
      <c r="F964" s="42" t="s">
        <v>59</v>
      </c>
      <c r="G964" s="53">
        <f>DG964</f>
        <v>417240</v>
      </c>
      <c r="H964" s="120"/>
      <c r="I964" s="121"/>
      <c r="J964" s="120"/>
      <c r="K964" s="76"/>
      <c r="L964" s="75"/>
      <c r="M964" s="75"/>
      <c r="AG964" s="75"/>
      <c r="AH964" s="75"/>
      <c r="DG964" s="187">
        <v>417240</v>
      </c>
    </row>
    <row r="965" spans="1:111" x14ac:dyDescent="0.3">
      <c r="A965" s="150" t="s">
        <v>284</v>
      </c>
      <c r="B965" s="10">
        <v>936</v>
      </c>
      <c r="C965" s="7" t="s">
        <v>209</v>
      </c>
      <c r="D965" s="7" t="s">
        <v>117</v>
      </c>
      <c r="E965" s="10" t="s">
        <v>49</v>
      </c>
      <c r="F965" s="7" t="s">
        <v>50</v>
      </c>
      <c r="G965" s="64">
        <f>G990+G1102+G978+G983</f>
        <v>74993.702770000004</v>
      </c>
      <c r="H965" s="111"/>
      <c r="I965" s="112"/>
      <c r="J965" s="111"/>
      <c r="K965" s="76"/>
      <c r="L965" s="75"/>
      <c r="M965" s="75"/>
      <c r="AG965" s="75"/>
      <c r="AH965" s="75"/>
    </row>
    <row r="966" spans="1:111" ht="47.25" hidden="1" customHeight="1" x14ac:dyDescent="0.3">
      <c r="A966" s="138" t="s">
        <v>38</v>
      </c>
      <c r="B966" s="11">
        <v>936</v>
      </c>
      <c r="C966" s="12" t="s">
        <v>209</v>
      </c>
      <c r="D966" s="6" t="s">
        <v>117</v>
      </c>
      <c r="E966" s="13" t="s">
        <v>25</v>
      </c>
      <c r="F966" s="12" t="s">
        <v>50</v>
      </c>
      <c r="G966" s="53">
        <f>G967</f>
        <v>0</v>
      </c>
      <c r="H966" s="111"/>
      <c r="I966" s="112"/>
      <c r="J966" s="111"/>
      <c r="K966" s="76"/>
      <c r="L966" s="75"/>
      <c r="M966" s="75"/>
      <c r="AG966" s="75"/>
      <c r="AH966" s="75"/>
    </row>
    <row r="967" spans="1:111" ht="37.5" hidden="1" x14ac:dyDescent="0.3">
      <c r="A967" s="151" t="s">
        <v>141</v>
      </c>
      <c r="B967" s="11">
        <v>936</v>
      </c>
      <c r="C967" s="12" t="s">
        <v>209</v>
      </c>
      <c r="D967" s="6" t="s">
        <v>117</v>
      </c>
      <c r="E967" s="13" t="s">
        <v>79</v>
      </c>
      <c r="F967" s="13" t="s">
        <v>50</v>
      </c>
      <c r="G967" s="53">
        <f>G971+G968</f>
        <v>0</v>
      </c>
      <c r="H967" s="111"/>
      <c r="I967" s="112"/>
      <c r="J967" s="111"/>
      <c r="K967" s="76"/>
      <c r="L967" s="75"/>
      <c r="M967" s="75"/>
      <c r="AG967" s="75"/>
      <c r="AH967" s="75"/>
    </row>
    <row r="968" spans="1:111" hidden="1" x14ac:dyDescent="0.3">
      <c r="A968" s="138" t="s">
        <v>62</v>
      </c>
      <c r="B968" s="11">
        <v>936</v>
      </c>
      <c r="C968" s="12" t="s">
        <v>209</v>
      </c>
      <c r="D968" s="6" t="s">
        <v>117</v>
      </c>
      <c r="E968" s="13" t="s">
        <v>80</v>
      </c>
      <c r="F968" s="13" t="s">
        <v>50</v>
      </c>
      <c r="G968" s="53">
        <f>G969</f>
        <v>0</v>
      </c>
      <c r="H968" s="111"/>
      <c r="I968" s="112"/>
      <c r="J968" s="111"/>
      <c r="K968" s="76"/>
      <c r="L968" s="75"/>
      <c r="M968" s="75"/>
      <c r="AG968" s="75"/>
      <c r="AH968" s="75"/>
    </row>
    <row r="969" spans="1:111" ht="56.25" hidden="1" x14ac:dyDescent="0.3">
      <c r="A969" s="138" t="s">
        <v>468</v>
      </c>
      <c r="B969" s="11">
        <v>936</v>
      </c>
      <c r="C969" s="12" t="s">
        <v>209</v>
      </c>
      <c r="D969" s="6" t="s">
        <v>117</v>
      </c>
      <c r="E969" s="13" t="s">
        <v>467</v>
      </c>
      <c r="F969" s="13" t="s">
        <v>50</v>
      </c>
      <c r="G969" s="53">
        <f>G970</f>
        <v>0</v>
      </c>
      <c r="H969" s="111"/>
      <c r="I969" s="112"/>
      <c r="J969" s="111"/>
      <c r="K969" s="76"/>
      <c r="L969" s="75"/>
      <c r="M969" s="75"/>
      <c r="AG969" s="75"/>
      <c r="AH969" s="75"/>
    </row>
    <row r="970" spans="1:111" ht="37.5" hidden="1" x14ac:dyDescent="0.3">
      <c r="A970" s="138" t="s">
        <v>425</v>
      </c>
      <c r="B970" s="11">
        <v>936</v>
      </c>
      <c r="C970" s="12" t="s">
        <v>209</v>
      </c>
      <c r="D970" s="6" t="s">
        <v>117</v>
      </c>
      <c r="E970" s="13" t="s">
        <v>467</v>
      </c>
      <c r="F970" s="13" t="s">
        <v>59</v>
      </c>
      <c r="G970" s="53">
        <v>0</v>
      </c>
      <c r="H970" s="111"/>
      <c r="I970" s="112"/>
      <c r="J970" s="111"/>
      <c r="K970" s="76"/>
      <c r="L970" s="75"/>
      <c r="M970" s="75"/>
      <c r="AG970" s="75"/>
      <c r="AH970" s="75"/>
    </row>
    <row r="971" spans="1:111" ht="26.25" hidden="1" customHeight="1" x14ac:dyDescent="0.3">
      <c r="A971" s="138" t="s">
        <v>419</v>
      </c>
      <c r="B971" s="11">
        <v>936</v>
      </c>
      <c r="C971" s="12" t="s">
        <v>209</v>
      </c>
      <c r="D971" s="6" t="s">
        <v>117</v>
      </c>
      <c r="E971" s="13" t="s">
        <v>420</v>
      </c>
      <c r="F971" s="13" t="s">
        <v>50</v>
      </c>
      <c r="G971" s="53">
        <f>G972</f>
        <v>0</v>
      </c>
      <c r="H971" s="111"/>
      <c r="I971" s="112"/>
      <c r="J971" s="111"/>
      <c r="K971" s="76"/>
      <c r="L971" s="75"/>
      <c r="M971" s="75"/>
      <c r="AG971" s="75"/>
      <c r="AH971" s="75"/>
    </row>
    <row r="972" spans="1:111" ht="37.5" hidden="1" x14ac:dyDescent="0.3">
      <c r="A972" s="138" t="s">
        <v>425</v>
      </c>
      <c r="B972" s="11">
        <v>936</v>
      </c>
      <c r="C972" s="12" t="s">
        <v>209</v>
      </c>
      <c r="D972" s="6" t="s">
        <v>117</v>
      </c>
      <c r="E972" s="13" t="s">
        <v>420</v>
      </c>
      <c r="F972" s="12" t="s">
        <v>59</v>
      </c>
      <c r="G972" s="53">
        <v>0</v>
      </c>
      <c r="H972" s="111"/>
      <c r="I972" s="112"/>
      <c r="J972" s="111"/>
      <c r="K972" s="76"/>
      <c r="L972" s="75"/>
      <c r="M972" s="75"/>
      <c r="AG972" s="75"/>
      <c r="AH972" s="75"/>
    </row>
    <row r="973" spans="1:111" ht="56.25" hidden="1" customHeight="1" outlineLevel="1" x14ac:dyDescent="0.3">
      <c r="A973" s="151" t="s">
        <v>0</v>
      </c>
      <c r="B973" s="11">
        <v>936</v>
      </c>
      <c r="C973" s="12" t="s">
        <v>209</v>
      </c>
      <c r="D973" s="12" t="s">
        <v>117</v>
      </c>
      <c r="E973" s="13" t="s">
        <v>92</v>
      </c>
      <c r="F973" s="12" t="s">
        <v>50</v>
      </c>
      <c r="G973" s="53">
        <f>G974</f>
        <v>0</v>
      </c>
      <c r="H973" s="111"/>
      <c r="I973" s="112"/>
      <c r="J973" s="111"/>
      <c r="K973" s="76"/>
      <c r="L973" s="75"/>
      <c r="M973" s="75"/>
      <c r="AG973" s="75"/>
      <c r="AH973" s="75"/>
    </row>
    <row r="974" spans="1:111" ht="75" hidden="1" outlineLevel="1" x14ac:dyDescent="0.3">
      <c r="A974" s="151" t="s">
        <v>2</v>
      </c>
      <c r="B974" s="11">
        <v>936</v>
      </c>
      <c r="C974" s="12" t="s">
        <v>209</v>
      </c>
      <c r="D974" s="12" t="s">
        <v>117</v>
      </c>
      <c r="E974" s="13" t="s">
        <v>26</v>
      </c>
      <c r="F974" s="12" t="s">
        <v>50</v>
      </c>
      <c r="G974" s="53">
        <f>G975</f>
        <v>0</v>
      </c>
      <c r="H974" s="111"/>
      <c r="I974" s="112"/>
      <c r="J974" s="111"/>
      <c r="K974" s="76"/>
      <c r="L974" s="75"/>
      <c r="M974" s="75"/>
      <c r="AG974" s="75"/>
      <c r="AH974" s="75"/>
    </row>
    <row r="975" spans="1:111" hidden="1" outlineLevel="1" x14ac:dyDescent="0.3">
      <c r="A975" s="171" t="s">
        <v>62</v>
      </c>
      <c r="B975" s="29" t="s">
        <v>285</v>
      </c>
      <c r="C975" s="29" t="s">
        <v>209</v>
      </c>
      <c r="D975" s="30" t="s">
        <v>117</v>
      </c>
      <c r="E975" s="29" t="s">
        <v>287</v>
      </c>
      <c r="F975" s="29" t="s">
        <v>50</v>
      </c>
      <c r="G975" s="53">
        <f>G976</f>
        <v>0</v>
      </c>
      <c r="H975" s="111"/>
      <c r="I975" s="112"/>
      <c r="J975" s="111"/>
      <c r="K975" s="76"/>
      <c r="L975" s="75"/>
      <c r="M975" s="75"/>
      <c r="AG975" s="75"/>
      <c r="AH975" s="75"/>
    </row>
    <row r="976" spans="1:111" hidden="1" outlineLevel="1" x14ac:dyDescent="0.3">
      <c r="A976" s="171" t="s">
        <v>286</v>
      </c>
      <c r="B976" s="29" t="s">
        <v>285</v>
      </c>
      <c r="C976" s="29" t="s">
        <v>209</v>
      </c>
      <c r="D976" s="28" t="s">
        <v>117</v>
      </c>
      <c r="E976" s="29" t="s">
        <v>288</v>
      </c>
      <c r="F976" s="29" t="s">
        <v>50</v>
      </c>
      <c r="G976" s="53">
        <f>G977</f>
        <v>0</v>
      </c>
      <c r="H976" s="111"/>
      <c r="I976" s="112"/>
      <c r="J976" s="111"/>
      <c r="K976" s="76"/>
      <c r="L976" s="75"/>
      <c r="M976" s="75"/>
      <c r="AG976" s="75"/>
      <c r="AH976" s="75"/>
    </row>
    <row r="977" spans="1:56" ht="37.5" hidden="1" outlineLevel="1" x14ac:dyDescent="0.3">
      <c r="A977" s="138" t="s">
        <v>425</v>
      </c>
      <c r="B977" s="29" t="s">
        <v>285</v>
      </c>
      <c r="C977" s="29" t="s">
        <v>209</v>
      </c>
      <c r="D977" s="28" t="s">
        <v>117</v>
      </c>
      <c r="E977" s="29" t="s">
        <v>288</v>
      </c>
      <c r="F977" s="29" t="s">
        <v>59</v>
      </c>
      <c r="G977" s="68">
        <f>60-60</f>
        <v>0</v>
      </c>
      <c r="H977" s="111"/>
      <c r="I977" s="112"/>
      <c r="J977" s="111"/>
      <c r="K977" s="76"/>
      <c r="L977" s="75"/>
      <c r="M977" s="75"/>
      <c r="AG977" s="75"/>
      <c r="AH977" s="75"/>
    </row>
    <row r="978" spans="1:56" ht="56.25" hidden="1" outlineLevel="1" x14ac:dyDescent="0.3">
      <c r="A978" s="151" t="s">
        <v>0</v>
      </c>
      <c r="B978" s="11">
        <v>905</v>
      </c>
      <c r="C978" s="12" t="s">
        <v>209</v>
      </c>
      <c r="D978" s="12" t="s">
        <v>117</v>
      </c>
      <c r="E978" s="13" t="s">
        <v>92</v>
      </c>
      <c r="F978" s="12" t="s">
        <v>50</v>
      </c>
      <c r="G978" s="53">
        <f>G979</f>
        <v>0</v>
      </c>
      <c r="H978" s="111"/>
      <c r="I978" s="112"/>
      <c r="J978" s="111"/>
      <c r="K978" s="76"/>
      <c r="L978" s="75"/>
      <c r="M978" s="75"/>
      <c r="AG978" s="75"/>
      <c r="AH978" s="75"/>
    </row>
    <row r="979" spans="1:56" ht="75" hidden="1" outlineLevel="1" x14ac:dyDescent="0.3">
      <c r="A979" s="151" t="s">
        <v>2</v>
      </c>
      <c r="B979" s="11">
        <v>905</v>
      </c>
      <c r="C979" s="12" t="s">
        <v>209</v>
      </c>
      <c r="D979" s="12" t="s">
        <v>117</v>
      </c>
      <c r="E979" s="13" t="s">
        <v>26</v>
      </c>
      <c r="F979" s="12" t="s">
        <v>50</v>
      </c>
      <c r="G979" s="53">
        <f>G980</f>
        <v>0</v>
      </c>
      <c r="H979" s="111"/>
      <c r="I979" s="112"/>
      <c r="J979" s="111"/>
      <c r="K979" s="76"/>
      <c r="L979" s="75"/>
      <c r="M979" s="75"/>
      <c r="AG979" s="75"/>
      <c r="AH979" s="75"/>
    </row>
    <row r="980" spans="1:56" hidden="1" outlineLevel="1" x14ac:dyDescent="0.3">
      <c r="A980" s="171" t="s">
        <v>62</v>
      </c>
      <c r="B980" s="29" t="s">
        <v>285</v>
      </c>
      <c r="C980" s="29" t="s">
        <v>209</v>
      </c>
      <c r="D980" s="30" t="s">
        <v>117</v>
      </c>
      <c r="E980" s="29" t="s">
        <v>287</v>
      </c>
      <c r="F980" s="29" t="s">
        <v>50</v>
      </c>
      <c r="G980" s="53">
        <f>G981</f>
        <v>0</v>
      </c>
      <c r="H980" s="111"/>
      <c r="I980" s="112"/>
      <c r="J980" s="111"/>
      <c r="K980" s="76"/>
      <c r="L980" s="75"/>
      <c r="M980" s="75"/>
      <c r="AG980" s="75"/>
      <c r="AH980" s="75"/>
    </row>
    <row r="981" spans="1:56" hidden="1" outlineLevel="1" x14ac:dyDescent="0.3">
      <c r="A981" s="171" t="s">
        <v>286</v>
      </c>
      <c r="B981" s="29" t="s">
        <v>285</v>
      </c>
      <c r="C981" s="29" t="s">
        <v>209</v>
      </c>
      <c r="D981" s="28" t="s">
        <v>117</v>
      </c>
      <c r="E981" s="29" t="s">
        <v>288</v>
      </c>
      <c r="F981" s="29" t="s">
        <v>50</v>
      </c>
      <c r="G981" s="53">
        <f>G982</f>
        <v>0</v>
      </c>
      <c r="H981" s="111"/>
      <c r="I981" s="112"/>
      <c r="J981" s="111"/>
      <c r="K981" s="76"/>
      <c r="L981" s="75"/>
      <c r="M981" s="75"/>
      <c r="AG981" s="75"/>
      <c r="AH981" s="75"/>
    </row>
    <row r="982" spans="1:56" ht="37.5" hidden="1" outlineLevel="1" x14ac:dyDescent="0.3">
      <c r="A982" s="138" t="s">
        <v>425</v>
      </c>
      <c r="B982" s="29" t="s">
        <v>285</v>
      </c>
      <c r="C982" s="29" t="s">
        <v>209</v>
      </c>
      <c r="D982" s="28" t="s">
        <v>117</v>
      </c>
      <c r="E982" s="29" t="s">
        <v>288</v>
      </c>
      <c r="F982" s="29" t="s">
        <v>59</v>
      </c>
      <c r="G982" s="68">
        <f>N982+T982</f>
        <v>0</v>
      </c>
      <c r="H982" s="111"/>
      <c r="I982" s="112"/>
      <c r="J982" s="111"/>
      <c r="K982" s="76"/>
      <c r="L982" s="75"/>
      <c r="M982" s="75"/>
      <c r="N982">
        <v>120</v>
      </c>
      <c r="T982">
        <v>-120</v>
      </c>
      <c r="AG982" s="75"/>
      <c r="AH982" s="75"/>
    </row>
    <row r="983" spans="1:56" ht="56.25" hidden="1" outlineLevel="1" x14ac:dyDescent="0.3">
      <c r="A983" s="151" t="s">
        <v>158</v>
      </c>
      <c r="B983" s="29" t="s">
        <v>285</v>
      </c>
      <c r="C983" s="29" t="s">
        <v>209</v>
      </c>
      <c r="D983" s="28" t="s">
        <v>117</v>
      </c>
      <c r="E983" s="13" t="s">
        <v>85</v>
      </c>
      <c r="F983" s="29" t="s">
        <v>50</v>
      </c>
      <c r="G983" s="68">
        <f>G984</f>
        <v>0</v>
      </c>
      <c r="H983" s="111"/>
      <c r="I983" s="112"/>
      <c r="J983" s="111"/>
      <c r="K983" s="76"/>
      <c r="L983" s="75"/>
      <c r="M983" s="75"/>
      <c r="AG983" s="75"/>
      <c r="AH983" s="75"/>
    </row>
    <row r="984" spans="1:56" hidden="1" outlineLevel="1" x14ac:dyDescent="0.3">
      <c r="A984" s="138" t="s">
        <v>409</v>
      </c>
      <c r="B984" s="29" t="s">
        <v>285</v>
      </c>
      <c r="C984" s="29" t="s">
        <v>209</v>
      </c>
      <c r="D984" s="28" t="s">
        <v>117</v>
      </c>
      <c r="E984" s="12" t="s">
        <v>90</v>
      </c>
      <c r="F984" s="29" t="s">
        <v>50</v>
      </c>
      <c r="G984" s="68">
        <f>G985+G987</f>
        <v>0</v>
      </c>
      <c r="H984" s="111"/>
      <c r="I984" s="112"/>
      <c r="J984" s="111"/>
      <c r="K984" s="76"/>
      <c r="L984" s="75"/>
      <c r="M984" s="75"/>
      <c r="AG984" s="75"/>
      <c r="AH984" s="75"/>
    </row>
    <row r="985" spans="1:56" ht="46.5" hidden="1" customHeight="1" outlineLevel="1" x14ac:dyDescent="0.3">
      <c r="A985" s="138" t="s">
        <v>682</v>
      </c>
      <c r="B985" s="29" t="s">
        <v>285</v>
      </c>
      <c r="C985" s="29" t="s">
        <v>209</v>
      </c>
      <c r="D985" s="28" t="s">
        <v>117</v>
      </c>
      <c r="E985" s="29" t="s">
        <v>681</v>
      </c>
      <c r="F985" s="29" t="s">
        <v>50</v>
      </c>
      <c r="G985" s="68">
        <f>G986</f>
        <v>0</v>
      </c>
      <c r="H985" s="111"/>
      <c r="I985" s="112"/>
      <c r="J985" s="111"/>
      <c r="K985" s="76"/>
      <c r="L985" s="75"/>
      <c r="M985" s="75"/>
      <c r="AG985" s="75"/>
      <c r="AH985" s="75"/>
    </row>
    <row r="986" spans="1:56" ht="37.5" hidden="1" outlineLevel="1" x14ac:dyDescent="0.3">
      <c r="A986" s="138" t="s">
        <v>425</v>
      </c>
      <c r="B986" s="29" t="s">
        <v>285</v>
      </c>
      <c r="C986" s="29" t="s">
        <v>209</v>
      </c>
      <c r="D986" s="28" t="s">
        <v>117</v>
      </c>
      <c r="E986" s="29" t="s">
        <v>681</v>
      </c>
      <c r="F986" s="29" t="s">
        <v>59</v>
      </c>
      <c r="G986" s="68">
        <v>0</v>
      </c>
      <c r="H986" s="111"/>
      <c r="I986" s="112">
        <v>1672.9</v>
      </c>
      <c r="J986" s="111">
        <v>16.899999999999999</v>
      </c>
      <c r="K986" s="76"/>
      <c r="L986" s="75"/>
      <c r="M986" s="75"/>
      <c r="AG986" s="75"/>
      <c r="AH986" s="75"/>
      <c r="AO986" s="145">
        <v>0.1</v>
      </c>
      <c r="BC986" s="218">
        <v>-164.9</v>
      </c>
      <c r="BD986" s="218">
        <v>-1.5</v>
      </c>
    </row>
    <row r="987" spans="1:56" hidden="1" outlineLevel="1" x14ac:dyDescent="0.3">
      <c r="A987" s="158" t="s">
        <v>62</v>
      </c>
      <c r="B987" s="29" t="s">
        <v>285</v>
      </c>
      <c r="C987" s="29" t="s">
        <v>209</v>
      </c>
      <c r="D987" s="28" t="s">
        <v>117</v>
      </c>
      <c r="E987" s="29" t="s">
        <v>310</v>
      </c>
      <c r="F987" s="29" t="s">
        <v>50</v>
      </c>
      <c r="G987" s="68">
        <f>G988</f>
        <v>0</v>
      </c>
      <c r="H987" s="111"/>
      <c r="I987" s="112"/>
      <c r="J987" s="111"/>
      <c r="K987" s="76"/>
      <c r="L987" s="75"/>
      <c r="M987" s="75"/>
      <c r="AG987" s="75"/>
      <c r="AH987" s="75"/>
    </row>
    <row r="988" spans="1:56" ht="37.5" hidden="1" outlineLevel="1" x14ac:dyDescent="0.3">
      <c r="A988" s="158" t="s">
        <v>352</v>
      </c>
      <c r="B988" s="29" t="s">
        <v>285</v>
      </c>
      <c r="C988" s="29" t="s">
        <v>209</v>
      </c>
      <c r="D988" s="28" t="s">
        <v>117</v>
      </c>
      <c r="E988" s="29" t="s">
        <v>750</v>
      </c>
      <c r="F988" s="29" t="s">
        <v>50</v>
      </c>
      <c r="G988" s="68">
        <f>G989</f>
        <v>0</v>
      </c>
      <c r="H988" s="111"/>
      <c r="I988" s="112"/>
      <c r="J988" s="111"/>
      <c r="K988" s="76"/>
      <c r="L988" s="75"/>
      <c r="M988" s="75"/>
      <c r="AG988" s="75"/>
      <c r="AH988" s="75"/>
    </row>
    <row r="989" spans="1:56" ht="37.5" hidden="1" outlineLevel="1" x14ac:dyDescent="0.3">
      <c r="A989" s="138" t="s">
        <v>425</v>
      </c>
      <c r="B989" s="29" t="s">
        <v>285</v>
      </c>
      <c r="C989" s="29" t="s">
        <v>209</v>
      </c>
      <c r="D989" s="28" t="s">
        <v>117</v>
      </c>
      <c r="E989" s="29" t="s">
        <v>750</v>
      </c>
      <c r="F989" s="29" t="s">
        <v>59</v>
      </c>
      <c r="G989" s="68"/>
      <c r="H989" s="111"/>
      <c r="I989" s="112"/>
      <c r="J989" s="111"/>
      <c r="K989" s="76"/>
      <c r="L989" s="75"/>
      <c r="M989" s="75"/>
      <c r="AG989" s="75"/>
      <c r="AH989" s="75"/>
      <c r="AV989" s="187">
        <v>22.672999999999998</v>
      </c>
    </row>
    <row r="990" spans="1:56" ht="42" customHeight="1" collapsed="1" x14ac:dyDescent="0.3">
      <c r="A990" s="151" t="s">
        <v>161</v>
      </c>
      <c r="B990" s="29" t="s">
        <v>285</v>
      </c>
      <c r="C990" s="29" t="s">
        <v>209</v>
      </c>
      <c r="D990" s="28" t="s">
        <v>117</v>
      </c>
      <c r="E990" s="13" t="s">
        <v>99</v>
      </c>
      <c r="F990" s="29" t="s">
        <v>50</v>
      </c>
      <c r="G990" s="53">
        <f>G991+G1008+G1006</f>
        <v>59563.924210000005</v>
      </c>
      <c r="H990" s="111"/>
      <c r="I990" s="112"/>
      <c r="J990" s="111"/>
      <c r="K990" s="76"/>
      <c r="L990" s="75"/>
      <c r="M990" s="75"/>
      <c r="AG990" s="75"/>
      <c r="AH990" s="75"/>
    </row>
    <row r="991" spans="1:56" ht="37.5" x14ac:dyDescent="0.3">
      <c r="A991" s="157" t="s">
        <v>10</v>
      </c>
      <c r="B991" s="29" t="s">
        <v>285</v>
      </c>
      <c r="C991" s="29" t="s">
        <v>209</v>
      </c>
      <c r="D991" s="28" t="s">
        <v>117</v>
      </c>
      <c r="E991" s="13" t="s">
        <v>28</v>
      </c>
      <c r="F991" s="29" t="s">
        <v>50</v>
      </c>
      <c r="G991" s="53">
        <f>G992+G1001+G1004+G999+G1099+G1101</f>
        <v>54702.327210000003</v>
      </c>
      <c r="H991" s="111"/>
      <c r="I991" s="112"/>
      <c r="J991" s="111"/>
      <c r="K991" s="76"/>
      <c r="L991" s="75"/>
      <c r="M991" s="75"/>
      <c r="AG991" s="75"/>
      <c r="AH991" s="75"/>
    </row>
    <row r="992" spans="1:56" x14ac:dyDescent="0.3">
      <c r="A992" s="138" t="s">
        <v>62</v>
      </c>
      <c r="B992" s="11">
        <v>936</v>
      </c>
      <c r="C992" s="12" t="s">
        <v>209</v>
      </c>
      <c r="D992" s="12" t="s">
        <v>117</v>
      </c>
      <c r="E992" s="12" t="s">
        <v>282</v>
      </c>
      <c r="F992" s="12" t="s">
        <v>50</v>
      </c>
      <c r="G992" s="53">
        <f>G993+G996</f>
        <v>49945.727209999997</v>
      </c>
      <c r="H992" s="111"/>
      <c r="I992" s="112"/>
      <c r="J992" s="111"/>
      <c r="K992" s="76"/>
      <c r="L992" s="75"/>
      <c r="M992" s="75"/>
      <c r="AG992" s="75"/>
      <c r="AH992" s="75"/>
    </row>
    <row r="993" spans="1:118" x14ac:dyDescent="0.3">
      <c r="A993" s="138" t="s">
        <v>289</v>
      </c>
      <c r="B993" s="11">
        <v>936</v>
      </c>
      <c r="C993" s="12" t="s">
        <v>209</v>
      </c>
      <c r="D993" s="12" t="s">
        <v>117</v>
      </c>
      <c r="E993" s="12" t="s">
        <v>292</v>
      </c>
      <c r="F993" s="12" t="s">
        <v>50</v>
      </c>
      <c r="G993" s="53">
        <f>G994+G995</f>
        <v>49945.727209999997</v>
      </c>
      <c r="H993" s="111"/>
      <c r="I993" s="112"/>
      <c r="J993" s="111"/>
      <c r="K993" s="76"/>
      <c r="L993" s="75"/>
      <c r="M993" s="75"/>
      <c r="AG993" s="75"/>
      <c r="AH993" s="75"/>
    </row>
    <row r="994" spans="1:118" ht="37.5" x14ac:dyDescent="0.3">
      <c r="A994" s="138" t="s">
        <v>425</v>
      </c>
      <c r="B994" s="11">
        <v>936</v>
      </c>
      <c r="C994" s="12" t="s">
        <v>209</v>
      </c>
      <c r="D994" s="12" t="s">
        <v>117</v>
      </c>
      <c r="E994" s="12" t="s">
        <v>292</v>
      </c>
      <c r="F994" s="12" t="s">
        <v>59</v>
      </c>
      <c r="G994" s="68">
        <f>CR994+CS994+160.7+CU994-90-404+CV994+404+CX994+CY994+CZ994+DC994+DD994+DE994+DF994+DH994+DL994+DN994</f>
        <v>41830.127209999999</v>
      </c>
      <c r="H994" s="111">
        <f>6746.2+500+4000+600+165+500+1800</f>
        <v>14311.2</v>
      </c>
      <c r="I994" s="112"/>
      <c r="J994" s="111"/>
      <c r="K994" s="76"/>
      <c r="L994" s="75"/>
      <c r="M994" s="75">
        <f>98+2500+500+1500+300+398</f>
        <v>5296</v>
      </c>
      <c r="N994">
        <v>0</v>
      </c>
      <c r="T994">
        <f>3970+75+2800+885.5+1250+252+500</f>
        <v>9732.5</v>
      </c>
      <c r="U994">
        <v>-483</v>
      </c>
      <c r="W994">
        <v>-215</v>
      </c>
      <c r="Z994">
        <f>-29.67975+38.44</f>
        <v>8.7602499999999992</v>
      </c>
      <c r="AC994">
        <f>48.88+600</f>
        <v>648.88</v>
      </c>
      <c r="AG994" s="75"/>
      <c r="AH994" s="75">
        <v>97.76</v>
      </c>
      <c r="AK994" s="75">
        <f>6546.7+3749.5+800</f>
        <v>11096.2</v>
      </c>
      <c r="AR994" s="187">
        <v>-145.72627</v>
      </c>
      <c r="AS994" s="187">
        <f>6190+500+166+1600</f>
        <v>8456</v>
      </c>
      <c r="AV994" s="187">
        <f>500+500+300+240</f>
        <v>1540</v>
      </c>
      <c r="AX994" s="96">
        <f>500+600+166</f>
        <v>1266</v>
      </c>
      <c r="AY994" s="218">
        <v>-1760.07439</v>
      </c>
      <c r="AZ994" s="218">
        <f>166+600</f>
        <v>766</v>
      </c>
      <c r="BE994" s="218">
        <v>126.56438</v>
      </c>
      <c r="BH994" s="225">
        <f>200+700-160+510.2</f>
        <v>1250.2</v>
      </c>
      <c r="BJ994" s="187">
        <f>672.8+120</f>
        <v>792.8</v>
      </c>
      <c r="BK994" s="218">
        <f>-120+1076.53+0.1</f>
        <v>956.63</v>
      </c>
      <c r="BL994" s="187">
        <f>1500+1350</f>
        <v>2850</v>
      </c>
      <c r="BN994" s="229">
        <f>800+800+4150+900+100+166+101+5017</f>
        <v>12034</v>
      </c>
      <c r="BU994" s="146">
        <v>1000</v>
      </c>
      <c r="BX994" s="146">
        <f>6060.7+1200</f>
        <v>7260.7</v>
      </c>
      <c r="CB994" s="218">
        <f>200-367.48601</f>
        <v>-167.48601000000002</v>
      </c>
      <c r="CC994" s="237">
        <v>-42.6</v>
      </c>
      <c r="CD994" s="218">
        <f>600+6510+1727.2+166.2</f>
        <v>9003.4000000000015</v>
      </c>
      <c r="CF994" s="187">
        <f>836+1000+203</f>
        <v>2039</v>
      </c>
      <c r="CH994" s="250">
        <f>69.8+504+480+646.9+1339.2+600</f>
        <v>3639.8999999999996</v>
      </c>
      <c r="CJ994" s="187">
        <f>1071.56+250+186</f>
        <v>1507.56</v>
      </c>
      <c r="CP994" s="251">
        <f>-20+910</f>
        <v>890</v>
      </c>
      <c r="CR994" s="94">
        <f>750+50+600+6000+900+243+901+166+150+500</f>
        <v>10260</v>
      </c>
      <c r="CS994" s="255">
        <v>5727.8</v>
      </c>
      <c r="CU994" s="250">
        <f>300+3516.205</f>
        <v>3816.2049999999999</v>
      </c>
      <c r="CV994" s="259">
        <f>180+100+599+275.7+340+2000</f>
        <v>3494.7</v>
      </c>
      <c r="CX994" s="260">
        <f>400+430.9-7</f>
        <v>823.9</v>
      </c>
      <c r="CY994" s="187">
        <f>450+500+100+470+600+110+200+300</f>
        <v>2730</v>
      </c>
      <c r="CZ994" s="187">
        <f>450+4000+100+179.2+1150+400+375+80</f>
        <v>6734.2</v>
      </c>
      <c r="DC994" s="187">
        <f>1050+200+600+250</f>
        <v>2100</v>
      </c>
      <c r="DD994" s="187">
        <v>109.67877</v>
      </c>
      <c r="DE994" s="187">
        <v>-202.25656000000001</v>
      </c>
      <c r="DF994" s="187">
        <f>600+179.2</f>
        <v>779.2</v>
      </c>
      <c r="DH994" s="187">
        <f>10+1010+1700+266</f>
        <v>2986</v>
      </c>
      <c r="DL994" s="260">
        <v>300</v>
      </c>
      <c r="DN994" s="260">
        <f>250+150+1700</f>
        <v>2100</v>
      </c>
    </row>
    <row r="995" spans="1:118" x14ac:dyDescent="0.3">
      <c r="A995" s="158" t="s">
        <v>60</v>
      </c>
      <c r="B995" s="11">
        <v>936</v>
      </c>
      <c r="C995" s="12" t="s">
        <v>209</v>
      </c>
      <c r="D995" s="12" t="s">
        <v>117</v>
      </c>
      <c r="E995" s="12" t="s">
        <v>292</v>
      </c>
      <c r="F995" s="12" t="s">
        <v>61</v>
      </c>
      <c r="G995" s="68">
        <f>CR995+CU995+CZ995</f>
        <v>8115.6</v>
      </c>
      <c r="H995" s="111">
        <v>6907</v>
      </c>
      <c r="I995" s="112"/>
      <c r="J995" s="111"/>
      <c r="K995" s="76"/>
      <c r="L995" s="75"/>
      <c r="M995" s="75"/>
      <c r="AG995" s="75"/>
      <c r="AH995" s="75"/>
      <c r="BN995" s="229">
        <v>12367</v>
      </c>
      <c r="CR995" s="94">
        <v>7254</v>
      </c>
      <c r="CU995" s="250">
        <v>854.6</v>
      </c>
      <c r="CZ995" s="187">
        <v>7</v>
      </c>
    </row>
    <row r="996" spans="1:118" ht="26.25" hidden="1" customHeight="1" x14ac:dyDescent="0.3">
      <c r="A996" s="178" t="s">
        <v>584</v>
      </c>
      <c r="B996" s="11">
        <v>936</v>
      </c>
      <c r="C996" s="12" t="s">
        <v>209</v>
      </c>
      <c r="D996" s="12" t="s">
        <v>117</v>
      </c>
      <c r="E996" s="12" t="s">
        <v>579</v>
      </c>
      <c r="F996" s="12" t="s">
        <v>50</v>
      </c>
      <c r="G996" s="68">
        <f>G997+G998</f>
        <v>0</v>
      </c>
      <c r="H996" s="111"/>
      <c r="I996" s="112"/>
      <c r="J996" s="111"/>
      <c r="K996" s="76"/>
      <c r="L996" s="75"/>
      <c r="M996" s="75"/>
      <c r="AG996" s="75"/>
      <c r="AH996" s="75"/>
    </row>
    <row r="997" spans="1:118" ht="37.5" hidden="1" x14ac:dyDescent="0.3">
      <c r="A997" s="138" t="s">
        <v>425</v>
      </c>
      <c r="B997" s="11">
        <v>936</v>
      </c>
      <c r="C997" s="12" t="s">
        <v>209</v>
      </c>
      <c r="D997" s="12" t="s">
        <v>117</v>
      </c>
      <c r="E997" s="12" t="s">
        <v>579</v>
      </c>
      <c r="F997" s="12" t="s">
        <v>59</v>
      </c>
      <c r="G997" s="68">
        <f>N997-500</f>
        <v>0</v>
      </c>
      <c r="H997" s="111"/>
      <c r="I997" s="112"/>
      <c r="J997" s="111"/>
      <c r="K997" s="76"/>
      <c r="L997" s="75"/>
      <c r="M997" s="75"/>
      <c r="N997">
        <v>500</v>
      </c>
      <c r="AG997" s="75"/>
      <c r="AH997" s="75"/>
    </row>
    <row r="998" spans="1:118" ht="46.5" hidden="1" customHeight="1" x14ac:dyDescent="0.3">
      <c r="A998" s="138" t="s">
        <v>264</v>
      </c>
      <c r="B998" s="11">
        <v>936</v>
      </c>
      <c r="C998" s="12" t="s">
        <v>209</v>
      </c>
      <c r="D998" s="12" t="s">
        <v>117</v>
      </c>
      <c r="E998" s="12" t="s">
        <v>579</v>
      </c>
      <c r="F998" s="12" t="s">
        <v>261</v>
      </c>
      <c r="G998" s="68">
        <v>0</v>
      </c>
      <c r="H998" s="111"/>
      <c r="I998" s="112"/>
      <c r="J998" s="111"/>
      <c r="K998" s="76"/>
      <c r="L998" s="75"/>
      <c r="M998" s="75"/>
      <c r="AG998" s="75"/>
      <c r="AH998" s="75"/>
      <c r="AK998" s="75">
        <v>0</v>
      </c>
    </row>
    <row r="999" spans="1:118" ht="36" hidden="1" customHeight="1" x14ac:dyDescent="0.3">
      <c r="A999" s="138" t="s">
        <v>184</v>
      </c>
      <c r="B999" s="11">
        <v>936</v>
      </c>
      <c r="C999" s="12" t="s">
        <v>209</v>
      </c>
      <c r="D999" s="12" t="s">
        <v>117</v>
      </c>
      <c r="E999" s="12" t="s">
        <v>794</v>
      </c>
      <c r="F999" s="12" t="s">
        <v>50</v>
      </c>
      <c r="G999" s="68">
        <f>G1000</f>
        <v>0</v>
      </c>
      <c r="H999" s="111"/>
      <c r="I999" s="112"/>
      <c r="J999" s="111"/>
      <c r="K999" s="76"/>
      <c r="L999" s="75"/>
      <c r="M999" s="75"/>
      <c r="AG999" s="75"/>
      <c r="AH999" s="75"/>
    </row>
    <row r="1000" spans="1:118" ht="46.5" hidden="1" customHeight="1" x14ac:dyDescent="0.3">
      <c r="A1000" s="138" t="s">
        <v>425</v>
      </c>
      <c r="B1000" s="11">
        <v>936</v>
      </c>
      <c r="C1000" s="12" t="s">
        <v>209</v>
      </c>
      <c r="D1000" s="12" t="s">
        <v>117</v>
      </c>
      <c r="E1000" s="12" t="s">
        <v>794</v>
      </c>
      <c r="F1000" s="12" t="s">
        <v>59</v>
      </c>
      <c r="G1000" s="68">
        <v>0</v>
      </c>
      <c r="H1000" s="111"/>
      <c r="I1000" s="112"/>
      <c r="J1000" s="111"/>
      <c r="K1000" s="76"/>
      <c r="L1000" s="75"/>
      <c r="M1000" s="75"/>
      <c r="AG1000" s="75"/>
      <c r="AH1000" s="75"/>
    </row>
    <row r="1001" spans="1:118" ht="75" hidden="1" x14ac:dyDescent="0.3">
      <c r="A1001" s="138" t="s">
        <v>249</v>
      </c>
      <c r="B1001" s="11">
        <v>936</v>
      </c>
      <c r="C1001" s="12" t="s">
        <v>209</v>
      </c>
      <c r="D1001" s="12" t="s">
        <v>117</v>
      </c>
      <c r="E1001" s="12" t="s">
        <v>626</v>
      </c>
      <c r="F1001" s="12" t="s">
        <v>50</v>
      </c>
      <c r="G1001" s="68">
        <f>G1002</f>
        <v>0</v>
      </c>
      <c r="H1001" s="111"/>
      <c r="I1001" s="112"/>
      <c r="J1001" s="111"/>
      <c r="K1001" s="76"/>
      <c r="L1001" s="75"/>
      <c r="M1001" s="75"/>
      <c r="AG1001" s="75"/>
      <c r="AH1001" s="75"/>
    </row>
    <row r="1002" spans="1:118" ht="37.5" hidden="1" x14ac:dyDescent="0.3">
      <c r="A1002" s="179" t="s">
        <v>624</v>
      </c>
      <c r="B1002" s="11">
        <v>936</v>
      </c>
      <c r="C1002" s="12" t="s">
        <v>209</v>
      </c>
      <c r="D1002" s="12" t="s">
        <v>117</v>
      </c>
      <c r="E1002" s="12" t="s">
        <v>625</v>
      </c>
      <c r="F1002" s="12" t="s">
        <v>50</v>
      </c>
      <c r="G1002" s="68">
        <f>G1003</f>
        <v>0</v>
      </c>
      <c r="H1002" s="111"/>
      <c r="I1002" s="112"/>
      <c r="J1002" s="111"/>
      <c r="K1002" s="76"/>
      <c r="L1002" s="75"/>
      <c r="M1002" s="75"/>
      <c r="AG1002" s="75"/>
      <c r="AH1002" s="75"/>
    </row>
    <row r="1003" spans="1:118" ht="37.5" hidden="1" x14ac:dyDescent="0.3">
      <c r="A1003" s="138" t="s">
        <v>425</v>
      </c>
      <c r="B1003" s="11">
        <v>936</v>
      </c>
      <c r="C1003" s="12" t="s">
        <v>209</v>
      </c>
      <c r="D1003" s="12" t="s">
        <v>117</v>
      </c>
      <c r="E1003" s="12" t="s">
        <v>625</v>
      </c>
      <c r="F1003" s="12" t="s">
        <v>59</v>
      </c>
      <c r="G1003" s="68">
        <v>0</v>
      </c>
      <c r="H1003" s="111"/>
      <c r="I1003" s="112">
        <v>3462.3</v>
      </c>
      <c r="J1003" s="111"/>
      <c r="K1003" s="76"/>
      <c r="L1003" s="75"/>
      <c r="M1003" s="75"/>
      <c r="AG1003" s="75"/>
      <c r="AH1003" s="75"/>
      <c r="AK1003" s="75">
        <v>0</v>
      </c>
    </row>
    <row r="1004" spans="1:118" ht="37.5" hidden="1" x14ac:dyDescent="0.3">
      <c r="A1004" s="179" t="s">
        <v>646</v>
      </c>
      <c r="B1004" s="11">
        <v>936</v>
      </c>
      <c r="C1004" s="12" t="s">
        <v>209</v>
      </c>
      <c r="D1004" s="12" t="s">
        <v>117</v>
      </c>
      <c r="E1004" s="12" t="s">
        <v>645</v>
      </c>
      <c r="F1004" s="12" t="s">
        <v>50</v>
      </c>
      <c r="G1004" s="68">
        <f>G1005</f>
        <v>0</v>
      </c>
      <c r="H1004" s="111"/>
      <c r="I1004" s="112"/>
      <c r="J1004" s="111"/>
      <c r="K1004" s="76"/>
      <c r="L1004" s="75"/>
      <c r="M1004" s="75"/>
      <c r="AG1004" s="75"/>
      <c r="AH1004" s="75"/>
    </row>
    <row r="1005" spans="1:118" ht="37.5" hidden="1" x14ac:dyDescent="0.3">
      <c r="A1005" s="138" t="s">
        <v>425</v>
      </c>
      <c r="B1005" s="11">
        <v>936</v>
      </c>
      <c r="C1005" s="12" t="s">
        <v>209</v>
      </c>
      <c r="D1005" s="12" t="s">
        <v>117</v>
      </c>
      <c r="E1005" s="12" t="s">
        <v>645</v>
      </c>
      <c r="F1005" s="12" t="s">
        <v>59</v>
      </c>
      <c r="G1005" s="68">
        <v>0</v>
      </c>
      <c r="H1005" s="111"/>
      <c r="I1005" s="112"/>
      <c r="J1005" s="111">
        <v>36.5</v>
      </c>
      <c r="K1005" s="76"/>
      <c r="L1005" s="75"/>
      <c r="M1005" s="75"/>
      <c r="Z1005">
        <v>35</v>
      </c>
      <c r="AG1005" s="75"/>
      <c r="AH1005" s="75"/>
      <c r="AK1005" s="75">
        <v>0</v>
      </c>
      <c r="AR1005" s="187">
        <v>145.72627</v>
      </c>
    </row>
    <row r="1006" spans="1:118" ht="78.75" customHeight="1" x14ac:dyDescent="0.3">
      <c r="A1006" s="224" t="s">
        <v>982</v>
      </c>
      <c r="B1006" s="11">
        <v>936</v>
      </c>
      <c r="C1006" s="12" t="s">
        <v>209</v>
      </c>
      <c r="D1006" s="12" t="s">
        <v>117</v>
      </c>
      <c r="E1006" s="12" t="s">
        <v>1139</v>
      </c>
      <c r="F1006" s="12" t="s">
        <v>50</v>
      </c>
      <c r="G1006" s="68">
        <f>G1007</f>
        <v>2500</v>
      </c>
      <c r="H1006" s="111"/>
      <c r="I1006" s="112"/>
      <c r="J1006" s="111"/>
      <c r="K1006" s="76"/>
      <c r="L1006" s="75"/>
      <c r="M1006" s="75"/>
      <c r="AG1006" s="75"/>
      <c r="AH1006" s="75"/>
    </row>
    <row r="1007" spans="1:118" ht="37.5" x14ac:dyDescent="0.3">
      <c r="A1007" s="138" t="s">
        <v>425</v>
      </c>
      <c r="B1007" s="11">
        <v>936</v>
      </c>
      <c r="C1007" s="12" t="s">
        <v>209</v>
      </c>
      <c r="D1007" s="12" t="s">
        <v>117</v>
      </c>
      <c r="E1007" s="12" t="s">
        <v>1139</v>
      </c>
      <c r="F1007" s="12" t="s">
        <v>59</v>
      </c>
      <c r="G1007" s="68">
        <f>CV1007</f>
        <v>2500</v>
      </c>
      <c r="H1007" s="111"/>
      <c r="I1007" s="112"/>
      <c r="J1007" s="111"/>
      <c r="K1007" s="76"/>
      <c r="L1007" s="75"/>
      <c r="M1007" s="75"/>
      <c r="AG1007" s="75"/>
      <c r="AH1007" s="75"/>
      <c r="CV1007" s="259">
        <v>2500</v>
      </c>
    </row>
    <row r="1008" spans="1:118" ht="61.5" customHeight="1" x14ac:dyDescent="0.3">
      <c r="A1008" s="151" t="s">
        <v>11</v>
      </c>
      <c r="B1008" s="11">
        <v>936</v>
      </c>
      <c r="C1008" s="12" t="s">
        <v>209</v>
      </c>
      <c r="D1008" s="12" t="s">
        <v>117</v>
      </c>
      <c r="E1008" s="13" t="s">
        <v>29</v>
      </c>
      <c r="F1008" s="12" t="s">
        <v>50</v>
      </c>
      <c r="G1008" s="53">
        <f>G1009+G1019+G1040++G1012+G1015+G1063+G1017</f>
        <v>2361.5969999999998</v>
      </c>
      <c r="H1008" s="111"/>
      <c r="I1008" s="112"/>
      <c r="J1008" s="111"/>
      <c r="K1008" s="76"/>
      <c r="L1008" s="75"/>
      <c r="M1008" s="75"/>
      <c r="AG1008" s="75"/>
      <c r="AH1008" s="75"/>
    </row>
    <row r="1009" spans="1:118" ht="30" hidden="1" customHeight="1" x14ac:dyDescent="0.3">
      <c r="A1009" s="138" t="s">
        <v>62</v>
      </c>
      <c r="B1009" s="11">
        <v>936</v>
      </c>
      <c r="C1009" s="12" t="s">
        <v>209</v>
      </c>
      <c r="D1009" s="12" t="s">
        <v>117</v>
      </c>
      <c r="E1009" s="12" t="s">
        <v>251</v>
      </c>
      <c r="F1009" s="12" t="s">
        <v>50</v>
      </c>
      <c r="G1009" s="53">
        <f>G1010</f>
        <v>0</v>
      </c>
      <c r="H1009" s="111"/>
      <c r="I1009" s="112"/>
      <c r="J1009" s="111"/>
      <c r="K1009" s="76"/>
      <c r="L1009" s="75"/>
      <c r="M1009" s="75"/>
      <c r="AG1009" s="75"/>
      <c r="AH1009" s="75"/>
    </row>
    <row r="1010" spans="1:118" ht="37.5" hidden="1" x14ac:dyDescent="0.3">
      <c r="A1010" s="138" t="s">
        <v>64</v>
      </c>
      <c r="B1010" s="11">
        <v>936</v>
      </c>
      <c r="C1010" s="12" t="s">
        <v>209</v>
      </c>
      <c r="D1010" s="12" t="s">
        <v>117</v>
      </c>
      <c r="E1010" s="12" t="s">
        <v>252</v>
      </c>
      <c r="F1010" s="12" t="s">
        <v>50</v>
      </c>
      <c r="G1010" s="53">
        <f>G1011</f>
        <v>0</v>
      </c>
      <c r="H1010" s="111"/>
      <c r="I1010" s="112"/>
      <c r="J1010" s="111"/>
      <c r="K1010" s="76"/>
      <c r="L1010" s="75"/>
      <c r="M1010" s="75"/>
      <c r="AG1010" s="75"/>
      <c r="AH1010" s="75"/>
    </row>
    <row r="1011" spans="1:118" ht="37.5" hidden="1" x14ac:dyDescent="0.3">
      <c r="A1011" s="138" t="s">
        <v>58</v>
      </c>
      <c r="B1011" s="11">
        <v>936</v>
      </c>
      <c r="C1011" s="12" t="s">
        <v>209</v>
      </c>
      <c r="D1011" s="12" t="s">
        <v>117</v>
      </c>
      <c r="E1011" s="12" t="s">
        <v>252</v>
      </c>
      <c r="F1011" s="12" t="s">
        <v>59</v>
      </c>
      <c r="G1011" s="53">
        <f>BU1011</f>
        <v>0</v>
      </c>
      <c r="H1011" s="111"/>
      <c r="I1011" s="112"/>
      <c r="J1011" s="111"/>
      <c r="K1011" s="76"/>
      <c r="L1011" s="75"/>
      <c r="M1011" s="75"/>
      <c r="AG1011" s="75"/>
      <c r="AH1011" s="75"/>
    </row>
    <row r="1012" spans="1:118" ht="55.5" hidden="1" customHeight="1" x14ac:dyDescent="0.3">
      <c r="A1012" s="138" t="s">
        <v>249</v>
      </c>
      <c r="B1012" s="139">
        <v>936</v>
      </c>
      <c r="C1012" s="106" t="s">
        <v>209</v>
      </c>
      <c r="D1012" s="106" t="s">
        <v>117</v>
      </c>
      <c r="E1012" s="106" t="s">
        <v>254</v>
      </c>
      <c r="F1012" s="106" t="s">
        <v>50</v>
      </c>
      <c r="G1012" s="83">
        <f>G1013</f>
        <v>0</v>
      </c>
      <c r="H1012" s="111"/>
      <c r="I1012" s="112"/>
      <c r="J1012" s="111"/>
      <c r="K1012" s="76"/>
      <c r="L1012" s="75"/>
      <c r="M1012" s="75"/>
      <c r="AG1012" s="75"/>
      <c r="AH1012" s="75"/>
    </row>
    <row r="1013" spans="1:118" ht="56.25" hidden="1" x14ac:dyDescent="0.3">
      <c r="A1013" s="138" t="s">
        <v>253</v>
      </c>
      <c r="B1013" s="139">
        <v>936</v>
      </c>
      <c r="C1013" s="106" t="s">
        <v>209</v>
      </c>
      <c r="D1013" s="106" t="s">
        <v>117</v>
      </c>
      <c r="E1013" s="106" t="s">
        <v>255</v>
      </c>
      <c r="F1013" s="106" t="s">
        <v>50</v>
      </c>
      <c r="G1013" s="83">
        <f>G1014</f>
        <v>0</v>
      </c>
      <c r="H1013" s="111"/>
      <c r="I1013" s="112"/>
      <c r="J1013" s="111"/>
      <c r="K1013" s="76"/>
      <c r="L1013" s="75"/>
      <c r="M1013" s="75"/>
      <c r="AG1013" s="75"/>
      <c r="AH1013" s="75"/>
    </row>
    <row r="1014" spans="1:118" ht="37.5" hidden="1" x14ac:dyDescent="0.3">
      <c r="A1014" s="138" t="s">
        <v>425</v>
      </c>
      <c r="B1014" s="139">
        <v>936</v>
      </c>
      <c r="C1014" s="106" t="s">
        <v>209</v>
      </c>
      <c r="D1014" s="106" t="s">
        <v>117</v>
      </c>
      <c r="E1014" s="106" t="s">
        <v>255</v>
      </c>
      <c r="F1014" s="106" t="s">
        <v>59</v>
      </c>
      <c r="G1014" s="83">
        <f>BT1014</f>
        <v>0</v>
      </c>
      <c r="H1014" s="111"/>
      <c r="I1014" s="112"/>
      <c r="J1014" s="111"/>
      <c r="K1014" s="76"/>
      <c r="L1014" s="75"/>
      <c r="M1014" s="75"/>
      <c r="AG1014" s="75"/>
      <c r="AH1014" s="75"/>
    </row>
    <row r="1015" spans="1:118" ht="65.25" hidden="1" customHeight="1" x14ac:dyDescent="0.3">
      <c r="A1015" s="151" t="s">
        <v>569</v>
      </c>
      <c r="B1015" s="11">
        <v>936</v>
      </c>
      <c r="C1015" s="12" t="s">
        <v>209</v>
      </c>
      <c r="D1015" s="12" t="s">
        <v>117</v>
      </c>
      <c r="E1015" s="12" t="s">
        <v>256</v>
      </c>
      <c r="F1015" s="12" t="s">
        <v>50</v>
      </c>
      <c r="G1015" s="83">
        <f>G1016</f>
        <v>0</v>
      </c>
      <c r="H1015" s="111"/>
      <c r="I1015" s="112"/>
      <c r="J1015" s="111"/>
      <c r="K1015" s="76"/>
      <c r="L1015" s="75"/>
      <c r="M1015" s="75"/>
      <c r="AG1015" s="75"/>
      <c r="AH1015" s="75"/>
    </row>
    <row r="1016" spans="1:118" ht="37.5" hidden="1" x14ac:dyDescent="0.3">
      <c r="A1016" s="138" t="s">
        <v>425</v>
      </c>
      <c r="B1016" s="11">
        <v>936</v>
      </c>
      <c r="C1016" s="12" t="s">
        <v>209</v>
      </c>
      <c r="D1016" s="12" t="s">
        <v>117</v>
      </c>
      <c r="E1016" s="12" t="s">
        <v>256</v>
      </c>
      <c r="F1016" s="12" t="s">
        <v>59</v>
      </c>
      <c r="G1016" s="68">
        <f>BU1016</f>
        <v>0</v>
      </c>
      <c r="H1016" s="111"/>
      <c r="I1016" s="112"/>
      <c r="J1016" s="111"/>
      <c r="K1016" s="76"/>
      <c r="L1016" s="75"/>
      <c r="M1016" s="75">
        <v>100</v>
      </c>
      <c r="Z1016">
        <v>-100</v>
      </c>
      <c r="AG1016" s="75"/>
      <c r="AH1016" s="75"/>
    </row>
    <row r="1017" spans="1:118" x14ac:dyDescent="0.3">
      <c r="A1017" s="138" t="s">
        <v>289</v>
      </c>
      <c r="B1017" s="11">
        <v>936</v>
      </c>
      <c r="C1017" s="12" t="s">
        <v>209</v>
      </c>
      <c r="D1017" s="12" t="s">
        <v>117</v>
      </c>
      <c r="E1017" s="42" t="s">
        <v>647</v>
      </c>
      <c r="F1017" s="42" t="s">
        <v>50</v>
      </c>
      <c r="G1017" s="68">
        <f>G1018</f>
        <v>337</v>
      </c>
      <c r="H1017" s="111"/>
      <c r="I1017" s="112"/>
      <c r="J1017" s="111"/>
      <c r="K1017" s="76"/>
      <c r="L1017" s="75"/>
      <c r="M1017" s="75"/>
      <c r="AG1017" s="75"/>
      <c r="AH1017" s="75"/>
    </row>
    <row r="1018" spans="1:118" ht="37.5" x14ac:dyDescent="0.3">
      <c r="A1018" s="138" t="s">
        <v>425</v>
      </c>
      <c r="B1018" s="11">
        <v>936</v>
      </c>
      <c r="C1018" s="12" t="s">
        <v>209</v>
      </c>
      <c r="D1018" s="12" t="s">
        <v>117</v>
      </c>
      <c r="E1018" s="42" t="s">
        <v>647</v>
      </c>
      <c r="F1018" s="42" t="s">
        <v>59</v>
      </c>
      <c r="G1018" s="68">
        <f>DE1018+DH1018</f>
        <v>337</v>
      </c>
      <c r="H1018" s="111"/>
      <c r="I1018" s="112"/>
      <c r="J1018" s="111"/>
      <c r="K1018" s="76"/>
      <c r="L1018" s="75"/>
      <c r="M1018" s="75"/>
      <c r="AG1018" s="75"/>
      <c r="AH1018" s="75"/>
      <c r="AQ1018" s="146">
        <v>-1419.9430400000001</v>
      </c>
      <c r="BD1018" s="218">
        <v>81.400000000000006</v>
      </c>
      <c r="BX1018" s="146">
        <v>200</v>
      </c>
      <c r="CG1018" s="187">
        <v>150</v>
      </c>
      <c r="DE1018" s="187">
        <v>275</v>
      </c>
      <c r="DH1018" s="187">
        <v>62</v>
      </c>
    </row>
    <row r="1019" spans="1:118" ht="75" x14ac:dyDescent="0.3">
      <c r="A1019" s="138" t="s">
        <v>249</v>
      </c>
      <c r="B1019" s="11">
        <v>936</v>
      </c>
      <c r="C1019" s="12" t="s">
        <v>209</v>
      </c>
      <c r="D1019" s="12" t="s">
        <v>117</v>
      </c>
      <c r="E1019" s="12" t="s">
        <v>824</v>
      </c>
      <c r="F1019" s="12" t="s">
        <v>50</v>
      </c>
      <c r="G1019" s="68">
        <f>G1020+G1022</f>
        <v>1179.797</v>
      </c>
      <c r="H1019" s="111"/>
      <c r="I1019" s="112"/>
      <c r="J1019" s="111"/>
      <c r="K1019" s="76"/>
      <c r="L1019" s="75"/>
      <c r="M1019" s="75"/>
      <c r="AG1019" s="75"/>
      <c r="AH1019" s="75"/>
      <c r="CA1019" s="218">
        <v>8.8999999999999996E-2</v>
      </c>
    </row>
    <row r="1020" spans="1:118" ht="117" customHeight="1" x14ac:dyDescent="0.3">
      <c r="A1020" s="138" t="s">
        <v>1116</v>
      </c>
      <c r="B1020" s="11">
        <v>936</v>
      </c>
      <c r="C1020" s="12" t="s">
        <v>209</v>
      </c>
      <c r="D1020" s="12" t="s">
        <v>117</v>
      </c>
      <c r="E1020" s="12" t="s">
        <v>1002</v>
      </c>
      <c r="F1020" s="12" t="s">
        <v>50</v>
      </c>
      <c r="G1020" s="68">
        <f>G1021</f>
        <v>357.37099999999998</v>
      </c>
      <c r="H1020" s="111"/>
      <c r="I1020" s="112"/>
      <c r="J1020" s="111"/>
      <c r="K1020" s="76"/>
      <c r="L1020" s="75"/>
      <c r="M1020" s="75"/>
      <c r="AG1020" s="75"/>
      <c r="AH1020" s="75"/>
    </row>
    <row r="1021" spans="1:118" ht="37.5" x14ac:dyDescent="0.3">
      <c r="A1021" s="138" t="s">
        <v>425</v>
      </c>
      <c r="B1021" s="11">
        <v>936</v>
      </c>
      <c r="C1021" s="12" t="s">
        <v>209</v>
      </c>
      <c r="D1021" s="12" t="s">
        <v>117</v>
      </c>
      <c r="E1021" s="12" t="s">
        <v>1002</v>
      </c>
      <c r="F1021" s="12" t="s">
        <v>59</v>
      </c>
      <c r="G1021" s="68">
        <f>CT1021+DF1021+DN1021</f>
        <v>357.37099999999998</v>
      </c>
      <c r="H1021" s="111"/>
      <c r="I1021" s="112"/>
      <c r="J1021" s="111"/>
      <c r="K1021" s="76">
        <v>892</v>
      </c>
      <c r="L1021" s="75"/>
      <c r="M1021" s="75"/>
      <c r="Z1021">
        <v>-422.3</v>
      </c>
      <c r="AG1021" s="75">
        <v>-233.55133000000001</v>
      </c>
      <c r="AH1021" s="75"/>
      <c r="AK1021" s="75">
        <v>0</v>
      </c>
      <c r="AP1021" s="146">
        <v>1500</v>
      </c>
      <c r="CT1021" s="250">
        <v>379.77499999999998</v>
      </c>
      <c r="DF1021" s="187">
        <v>-2.6</v>
      </c>
      <c r="DN1021" s="260">
        <v>-19.803999999999998</v>
      </c>
    </row>
    <row r="1022" spans="1:118" ht="131.25" x14ac:dyDescent="0.3">
      <c r="A1022" s="138" t="s">
        <v>1130</v>
      </c>
      <c r="B1022" s="11">
        <v>936</v>
      </c>
      <c r="C1022" s="12" t="s">
        <v>209</v>
      </c>
      <c r="D1022" s="12" t="s">
        <v>117</v>
      </c>
      <c r="E1022" s="12" t="s">
        <v>1003</v>
      </c>
      <c r="F1022" s="12" t="s">
        <v>50</v>
      </c>
      <c r="G1022" s="68">
        <f>G1023</f>
        <v>822.42599999999993</v>
      </c>
      <c r="H1022" s="111"/>
      <c r="I1022" s="112"/>
      <c r="J1022" s="111"/>
      <c r="K1022" s="76"/>
      <c r="L1022" s="75"/>
      <c r="M1022" s="75"/>
      <c r="AG1022" s="75"/>
      <c r="AH1022" s="75"/>
    </row>
    <row r="1023" spans="1:118" ht="37.5" x14ac:dyDescent="0.3">
      <c r="A1023" s="138" t="s">
        <v>425</v>
      </c>
      <c r="B1023" s="11">
        <v>936</v>
      </c>
      <c r="C1023" s="12" t="s">
        <v>209</v>
      </c>
      <c r="D1023" s="12" t="s">
        <v>117</v>
      </c>
      <c r="E1023" s="12" t="s">
        <v>1003</v>
      </c>
      <c r="F1023" s="12" t="s">
        <v>59</v>
      </c>
      <c r="G1023" s="68">
        <f>CT1023+DF1023+DN1023</f>
        <v>822.42599999999993</v>
      </c>
      <c r="H1023" s="111"/>
      <c r="I1023" s="112"/>
      <c r="J1023" s="111"/>
      <c r="K1023" s="76">
        <v>847</v>
      </c>
      <c r="L1023" s="75"/>
      <c r="M1023" s="75"/>
      <c r="AG1023" s="75"/>
      <c r="AH1023" s="75"/>
      <c r="AK1023" s="75">
        <v>0</v>
      </c>
      <c r="AP1023" s="146">
        <v>1374.6759999999999</v>
      </c>
      <c r="CT1023" s="250">
        <v>950</v>
      </c>
      <c r="DF1023" s="187">
        <v>-19.100000000000001</v>
      </c>
      <c r="DN1023" s="260">
        <v>-108.474</v>
      </c>
    </row>
    <row r="1024" spans="1:118" ht="112.5" hidden="1" x14ac:dyDescent="0.3">
      <c r="A1024" s="138" t="s">
        <v>829</v>
      </c>
      <c r="B1024" s="11">
        <v>936</v>
      </c>
      <c r="C1024" s="42" t="s">
        <v>209</v>
      </c>
      <c r="D1024" s="42" t="s">
        <v>117</v>
      </c>
      <c r="E1024" s="12" t="s">
        <v>833</v>
      </c>
      <c r="F1024" s="12" t="s">
        <v>50</v>
      </c>
      <c r="G1024" s="68">
        <f>G1025</f>
        <v>0</v>
      </c>
      <c r="H1024" s="111"/>
      <c r="I1024" s="112"/>
      <c r="J1024" s="111"/>
      <c r="K1024" s="76"/>
      <c r="L1024" s="75"/>
      <c r="M1024" s="75"/>
      <c r="AG1024" s="75"/>
      <c r="AH1024" s="75"/>
    </row>
    <row r="1025" spans="1:83" ht="37.5" hidden="1" x14ac:dyDescent="0.3">
      <c r="A1025" s="138" t="s">
        <v>425</v>
      </c>
      <c r="B1025" s="11">
        <v>936</v>
      </c>
      <c r="C1025" s="42" t="s">
        <v>209</v>
      </c>
      <c r="D1025" s="42" t="s">
        <v>117</v>
      </c>
      <c r="E1025" s="12" t="s">
        <v>833</v>
      </c>
      <c r="F1025" s="42" t="s">
        <v>59</v>
      </c>
      <c r="G1025" s="53">
        <v>0</v>
      </c>
      <c r="H1025" s="111"/>
      <c r="I1025" s="112"/>
      <c r="J1025" s="111"/>
      <c r="K1025" s="76">
        <v>1000</v>
      </c>
      <c r="L1025" s="75"/>
      <c r="M1025" s="75"/>
      <c r="AG1025" s="75"/>
      <c r="AH1025" s="75"/>
      <c r="AK1025" s="75">
        <v>0</v>
      </c>
      <c r="AP1025" s="146">
        <v>1500</v>
      </c>
    </row>
    <row r="1026" spans="1:83" ht="112.5" hidden="1" x14ac:dyDescent="0.3">
      <c r="A1026" s="138" t="s">
        <v>707</v>
      </c>
      <c r="B1026" s="11">
        <v>936</v>
      </c>
      <c r="C1026" s="42" t="s">
        <v>209</v>
      </c>
      <c r="D1026" s="42" t="s">
        <v>117</v>
      </c>
      <c r="E1026" s="42" t="s">
        <v>706</v>
      </c>
      <c r="F1026" s="12" t="s">
        <v>50</v>
      </c>
      <c r="G1026" s="53">
        <f>G1027</f>
        <v>0</v>
      </c>
      <c r="H1026" s="111"/>
      <c r="I1026" s="112"/>
      <c r="J1026" s="111"/>
      <c r="K1026" s="76"/>
      <c r="L1026" s="75"/>
      <c r="M1026" s="75"/>
      <c r="AG1026" s="75"/>
      <c r="AH1026" s="75"/>
    </row>
    <row r="1027" spans="1:83" ht="37.5" hidden="1" x14ac:dyDescent="0.3">
      <c r="A1027" s="138" t="s">
        <v>425</v>
      </c>
      <c r="B1027" s="11">
        <v>936</v>
      </c>
      <c r="C1027" s="42" t="s">
        <v>209</v>
      </c>
      <c r="D1027" s="42" t="s">
        <v>117</v>
      </c>
      <c r="E1027" s="42" t="s">
        <v>706</v>
      </c>
      <c r="F1027" s="42" t="s">
        <v>59</v>
      </c>
      <c r="G1027" s="53">
        <v>0</v>
      </c>
      <c r="H1027" s="111"/>
      <c r="I1027" s="112"/>
      <c r="J1027" s="111"/>
      <c r="K1027" s="76">
        <v>1000</v>
      </c>
      <c r="L1027" s="75"/>
      <c r="M1027" s="75"/>
      <c r="AG1027" s="75"/>
      <c r="AH1027" s="75"/>
      <c r="AK1027" s="75">
        <v>0</v>
      </c>
      <c r="AP1027" s="146">
        <v>1010.4880000000001</v>
      </c>
    </row>
    <row r="1028" spans="1:83" ht="112.5" hidden="1" x14ac:dyDescent="0.3">
      <c r="A1028" s="138" t="s">
        <v>709</v>
      </c>
      <c r="B1028" s="11">
        <v>936</v>
      </c>
      <c r="C1028" s="42" t="s">
        <v>209</v>
      </c>
      <c r="D1028" s="42" t="s">
        <v>117</v>
      </c>
      <c r="E1028" s="42" t="s">
        <v>708</v>
      </c>
      <c r="F1028" s="12" t="s">
        <v>50</v>
      </c>
      <c r="G1028" s="53">
        <f>G1029</f>
        <v>0</v>
      </c>
      <c r="H1028" s="111"/>
      <c r="I1028" s="112"/>
      <c r="J1028" s="111"/>
      <c r="K1028" s="76"/>
      <c r="L1028" s="75"/>
      <c r="M1028" s="75"/>
      <c r="AG1028" s="75"/>
      <c r="AH1028" s="75"/>
    </row>
    <row r="1029" spans="1:83" ht="37.5" hidden="1" x14ac:dyDescent="0.3">
      <c r="A1029" s="138" t="s">
        <v>425</v>
      </c>
      <c r="B1029" s="11">
        <v>936</v>
      </c>
      <c r="C1029" s="42" t="s">
        <v>209</v>
      </c>
      <c r="D1029" s="42" t="s">
        <v>117</v>
      </c>
      <c r="E1029" s="42" t="s">
        <v>708</v>
      </c>
      <c r="F1029" s="42" t="s">
        <v>59</v>
      </c>
      <c r="G1029" s="53">
        <v>0</v>
      </c>
      <c r="H1029" s="111"/>
      <c r="I1029" s="112"/>
      <c r="J1029" s="111"/>
      <c r="K1029" s="76"/>
      <c r="L1029" s="75"/>
      <c r="M1029" s="75"/>
      <c r="AG1029" s="75"/>
      <c r="AH1029" s="75"/>
      <c r="AP1029" s="146">
        <v>927.822</v>
      </c>
    </row>
    <row r="1030" spans="1:83" ht="105.75" hidden="1" customHeight="1" x14ac:dyDescent="0.3">
      <c r="A1030" s="138" t="s">
        <v>754</v>
      </c>
      <c r="B1030" s="11">
        <v>936</v>
      </c>
      <c r="C1030" s="42" t="s">
        <v>209</v>
      </c>
      <c r="D1030" s="42" t="s">
        <v>117</v>
      </c>
      <c r="E1030" s="42" t="s">
        <v>751</v>
      </c>
      <c r="F1030" s="12" t="s">
        <v>50</v>
      </c>
      <c r="G1030" s="53">
        <f>G1031</f>
        <v>0</v>
      </c>
      <c r="H1030" s="111"/>
      <c r="I1030" s="112"/>
      <c r="J1030" s="111"/>
      <c r="K1030" s="76"/>
      <c r="L1030" s="75"/>
      <c r="M1030" s="75"/>
      <c r="AG1030" s="75"/>
      <c r="AH1030" s="75"/>
    </row>
    <row r="1031" spans="1:83" ht="37.5" hidden="1" x14ac:dyDescent="0.3">
      <c r="A1031" s="138" t="s">
        <v>425</v>
      </c>
      <c r="B1031" s="11">
        <v>936</v>
      </c>
      <c r="C1031" s="42" t="s">
        <v>209</v>
      </c>
      <c r="D1031" s="42" t="s">
        <v>117</v>
      </c>
      <c r="E1031" s="42" t="s">
        <v>751</v>
      </c>
      <c r="F1031" s="42" t="s">
        <v>59</v>
      </c>
      <c r="G1031" s="53">
        <v>0</v>
      </c>
      <c r="H1031" s="111"/>
      <c r="I1031" s="112"/>
      <c r="J1031" s="111"/>
      <c r="K1031" s="76"/>
      <c r="L1031" s="75"/>
      <c r="M1031" s="75"/>
      <c r="AG1031" s="75"/>
      <c r="AH1031" s="75"/>
      <c r="AV1031" s="187">
        <v>1090.278</v>
      </c>
    </row>
    <row r="1032" spans="1:83" ht="112.5" hidden="1" x14ac:dyDescent="0.3">
      <c r="A1032" s="138" t="s">
        <v>765</v>
      </c>
      <c r="B1032" s="11">
        <v>936</v>
      </c>
      <c r="C1032" s="42" t="s">
        <v>209</v>
      </c>
      <c r="D1032" s="42" t="s">
        <v>117</v>
      </c>
      <c r="E1032" s="42" t="s">
        <v>764</v>
      </c>
      <c r="F1032" s="42" t="s">
        <v>50</v>
      </c>
      <c r="G1032" s="53">
        <f>G1033</f>
        <v>0</v>
      </c>
      <c r="H1032" s="111"/>
      <c r="I1032" s="112"/>
      <c r="J1032" s="111"/>
      <c r="K1032" s="76"/>
      <c r="L1032" s="75"/>
      <c r="M1032" s="75"/>
      <c r="AG1032" s="75"/>
      <c r="AH1032" s="75"/>
    </row>
    <row r="1033" spans="1:83" ht="37.5" hidden="1" x14ac:dyDescent="0.3">
      <c r="A1033" s="138" t="s">
        <v>425</v>
      </c>
      <c r="B1033" s="11">
        <v>936</v>
      </c>
      <c r="C1033" s="42" t="s">
        <v>209</v>
      </c>
      <c r="D1033" s="42" t="s">
        <v>117</v>
      </c>
      <c r="E1033" s="42" t="s">
        <v>764</v>
      </c>
      <c r="F1033" s="42" t="s">
        <v>59</v>
      </c>
      <c r="G1033" s="53">
        <v>0</v>
      </c>
      <c r="H1033" s="111"/>
      <c r="I1033" s="112"/>
      <c r="J1033" s="111"/>
      <c r="K1033" s="76"/>
      <c r="L1033" s="75"/>
      <c r="M1033" s="75"/>
      <c r="AG1033" s="75"/>
      <c r="AH1033" s="75"/>
      <c r="AY1033" s="218">
        <v>689.91700000000003</v>
      </c>
    </row>
    <row r="1034" spans="1:83" ht="112.5" hidden="1" x14ac:dyDescent="0.3">
      <c r="A1034" s="138" t="s">
        <v>895</v>
      </c>
      <c r="B1034" s="11">
        <v>936</v>
      </c>
      <c r="C1034" s="42" t="s">
        <v>209</v>
      </c>
      <c r="D1034" s="42" t="s">
        <v>117</v>
      </c>
      <c r="E1034" s="42" t="s">
        <v>896</v>
      </c>
      <c r="F1034" s="12" t="s">
        <v>50</v>
      </c>
      <c r="G1034" s="53">
        <f>G1035</f>
        <v>0</v>
      </c>
      <c r="H1034" s="111"/>
      <c r="I1034" s="112"/>
      <c r="J1034" s="111"/>
      <c r="K1034" s="76"/>
      <c r="L1034" s="75"/>
      <c r="M1034" s="75"/>
      <c r="AG1034" s="75"/>
      <c r="AH1034" s="75"/>
    </row>
    <row r="1035" spans="1:83" ht="37.5" hidden="1" x14ac:dyDescent="0.3">
      <c r="A1035" s="138" t="s">
        <v>425</v>
      </c>
      <c r="B1035" s="11">
        <v>936</v>
      </c>
      <c r="C1035" s="42" t="s">
        <v>209</v>
      </c>
      <c r="D1035" s="42" t="s">
        <v>117</v>
      </c>
      <c r="E1035" s="42" t="s">
        <v>896</v>
      </c>
      <c r="F1035" s="42" t="s">
        <v>59</v>
      </c>
      <c r="G1035" s="53">
        <v>0</v>
      </c>
      <c r="H1035" s="111"/>
      <c r="I1035" s="112"/>
      <c r="J1035" s="111"/>
      <c r="K1035" s="76"/>
      <c r="L1035" s="75"/>
      <c r="M1035" s="75"/>
      <c r="AG1035" s="75"/>
      <c r="AH1035" s="75"/>
      <c r="CA1035" s="218">
        <v>1374.6759999999999</v>
      </c>
    </row>
    <row r="1036" spans="1:83" ht="93.75" hidden="1" x14ac:dyDescent="0.3">
      <c r="A1036" s="138" t="s">
        <v>897</v>
      </c>
      <c r="B1036" s="11">
        <v>936</v>
      </c>
      <c r="C1036" s="42" t="s">
        <v>209</v>
      </c>
      <c r="D1036" s="42" t="s">
        <v>117</v>
      </c>
      <c r="E1036" s="42" t="s">
        <v>898</v>
      </c>
      <c r="F1036" s="12" t="s">
        <v>50</v>
      </c>
      <c r="G1036" s="53">
        <f>G1037</f>
        <v>0</v>
      </c>
      <c r="H1036" s="111"/>
      <c r="I1036" s="112"/>
      <c r="J1036" s="111"/>
      <c r="K1036" s="76"/>
      <c r="L1036" s="75"/>
      <c r="M1036" s="75"/>
      <c r="AG1036" s="75"/>
      <c r="AH1036" s="75"/>
    </row>
    <row r="1037" spans="1:83" ht="37.5" hidden="1" x14ac:dyDescent="0.3">
      <c r="A1037" s="138" t="s">
        <v>425</v>
      </c>
      <c r="B1037" s="11">
        <v>936</v>
      </c>
      <c r="C1037" s="42" t="s">
        <v>209</v>
      </c>
      <c r="D1037" s="42" t="s">
        <v>117</v>
      </c>
      <c r="E1037" s="42" t="s">
        <v>898</v>
      </c>
      <c r="F1037" s="42" t="s">
        <v>59</v>
      </c>
      <c r="G1037" s="53">
        <v>0</v>
      </c>
      <c r="H1037" s="111"/>
      <c r="I1037" s="112"/>
      <c r="J1037" s="111"/>
      <c r="K1037" s="76"/>
      <c r="L1037" s="75"/>
      <c r="M1037" s="75"/>
      <c r="AG1037" s="75"/>
      <c r="AH1037" s="75"/>
      <c r="CA1037" s="218">
        <v>1500</v>
      </c>
    </row>
    <row r="1038" spans="1:83" ht="93.75" hidden="1" x14ac:dyDescent="0.3">
      <c r="A1038" s="138" t="s">
        <v>924</v>
      </c>
      <c r="B1038" s="11">
        <v>936</v>
      </c>
      <c r="C1038" s="42" t="s">
        <v>209</v>
      </c>
      <c r="D1038" s="42" t="s">
        <v>117</v>
      </c>
      <c r="E1038" s="42" t="s">
        <v>923</v>
      </c>
      <c r="F1038" s="12" t="s">
        <v>50</v>
      </c>
      <c r="G1038" s="53">
        <f>G1039</f>
        <v>0</v>
      </c>
      <c r="H1038" s="111"/>
      <c r="I1038" s="112"/>
      <c r="J1038" s="111"/>
      <c r="K1038" s="76"/>
      <c r="L1038" s="75"/>
      <c r="M1038" s="75"/>
      <c r="AG1038" s="75"/>
      <c r="AH1038" s="75"/>
    </row>
    <row r="1039" spans="1:83" ht="37.5" hidden="1" x14ac:dyDescent="0.3">
      <c r="A1039" s="138" t="s">
        <v>425</v>
      </c>
      <c r="B1039" s="11">
        <v>936</v>
      </c>
      <c r="C1039" s="42" t="s">
        <v>209</v>
      </c>
      <c r="D1039" s="42" t="s">
        <v>117</v>
      </c>
      <c r="E1039" s="42" t="s">
        <v>923</v>
      </c>
      <c r="F1039" s="42" t="s">
        <v>59</v>
      </c>
      <c r="G1039" s="53">
        <v>0</v>
      </c>
      <c r="H1039" s="111"/>
      <c r="I1039" s="112"/>
      <c r="J1039" s="111"/>
      <c r="K1039" s="76"/>
      <c r="L1039" s="75"/>
      <c r="M1039" s="75"/>
      <c r="AG1039" s="75"/>
      <c r="AH1039" s="75"/>
      <c r="CE1039" s="187">
        <v>971.59100000000001</v>
      </c>
    </row>
    <row r="1040" spans="1:83" ht="63" customHeight="1" x14ac:dyDescent="0.3">
      <c r="A1040" s="138" t="s">
        <v>569</v>
      </c>
      <c r="B1040" s="11">
        <v>936</v>
      </c>
      <c r="C1040" s="42" t="s">
        <v>209</v>
      </c>
      <c r="D1040" s="42" t="s">
        <v>117</v>
      </c>
      <c r="E1040" s="42" t="s">
        <v>256</v>
      </c>
      <c r="F1040" s="12" t="s">
        <v>50</v>
      </c>
      <c r="G1040" s="53">
        <f>G1041+G1043+G1045+G1047+G1051+G1054+G1055+G1057+G1059+G1061</f>
        <v>218</v>
      </c>
      <c r="H1040" s="111"/>
      <c r="I1040" s="112"/>
      <c r="J1040" s="111"/>
      <c r="K1040" s="76"/>
      <c r="L1040" s="75"/>
      <c r="M1040" s="75"/>
      <c r="AG1040" s="75"/>
      <c r="AH1040" s="75"/>
    </row>
    <row r="1041" spans="1:99" ht="112.5" x14ac:dyDescent="0.3">
      <c r="A1041" s="138" t="s">
        <v>1116</v>
      </c>
      <c r="B1041" s="11">
        <v>936</v>
      </c>
      <c r="C1041" s="42" t="s">
        <v>209</v>
      </c>
      <c r="D1041" s="42" t="s">
        <v>117</v>
      </c>
      <c r="E1041" s="12" t="s">
        <v>1015</v>
      </c>
      <c r="F1041" s="12" t="s">
        <v>50</v>
      </c>
      <c r="G1041" s="53">
        <f>G1042</f>
        <v>50</v>
      </c>
      <c r="H1041" s="111"/>
      <c r="I1041" s="112"/>
      <c r="J1041" s="111"/>
      <c r="K1041" s="76"/>
      <c r="L1041" s="75"/>
      <c r="M1041" s="75"/>
      <c r="AG1041" s="75"/>
      <c r="AH1041" s="75"/>
    </row>
    <row r="1042" spans="1:99" ht="37.5" x14ac:dyDescent="0.3">
      <c r="A1042" s="138" t="s">
        <v>425</v>
      </c>
      <c r="B1042" s="11">
        <v>936</v>
      </c>
      <c r="C1042" s="42" t="s">
        <v>209</v>
      </c>
      <c r="D1042" s="42" t="s">
        <v>117</v>
      </c>
      <c r="E1042" s="12" t="s">
        <v>1015</v>
      </c>
      <c r="F1042" s="42" t="s">
        <v>59</v>
      </c>
      <c r="G1042" s="53">
        <f>CU1042</f>
        <v>50</v>
      </c>
      <c r="H1042" s="111"/>
      <c r="I1042" s="112"/>
      <c r="J1042" s="111"/>
      <c r="K1042" s="76"/>
      <c r="L1042" s="75"/>
      <c r="M1042" s="75">
        <v>168.3</v>
      </c>
      <c r="AG1042" s="75"/>
      <c r="AH1042" s="75"/>
      <c r="AK1042" s="75">
        <v>0</v>
      </c>
      <c r="AQ1042" s="146">
        <v>600</v>
      </c>
      <c r="CU1042" s="250">
        <v>50</v>
      </c>
    </row>
    <row r="1043" spans="1:99" ht="131.25" x14ac:dyDescent="0.3">
      <c r="A1043" s="138" t="s">
        <v>1104</v>
      </c>
      <c r="B1043" s="11">
        <v>936</v>
      </c>
      <c r="C1043" s="42" t="s">
        <v>209</v>
      </c>
      <c r="D1043" s="42" t="s">
        <v>117</v>
      </c>
      <c r="E1043" s="12" t="s">
        <v>1016</v>
      </c>
      <c r="F1043" s="12" t="s">
        <v>50</v>
      </c>
      <c r="G1043" s="53">
        <f>G1044</f>
        <v>168</v>
      </c>
      <c r="H1043" s="111"/>
      <c r="I1043" s="112"/>
      <c r="J1043" s="111"/>
      <c r="K1043" s="76"/>
      <c r="L1043" s="75"/>
      <c r="M1043" s="75"/>
      <c r="AG1043" s="75"/>
      <c r="AH1043" s="75"/>
    </row>
    <row r="1044" spans="1:99" ht="37.5" x14ac:dyDescent="0.3">
      <c r="A1044" s="138" t="s">
        <v>425</v>
      </c>
      <c r="B1044" s="11">
        <v>936</v>
      </c>
      <c r="C1044" s="42" t="s">
        <v>209</v>
      </c>
      <c r="D1044" s="42" t="s">
        <v>117</v>
      </c>
      <c r="E1044" s="12" t="s">
        <v>1016</v>
      </c>
      <c r="F1044" s="42" t="s">
        <v>59</v>
      </c>
      <c r="G1044" s="53">
        <f>CU1044</f>
        <v>168</v>
      </c>
      <c r="H1044" s="111"/>
      <c r="I1044" s="112"/>
      <c r="J1044" s="111"/>
      <c r="K1044" s="76"/>
      <c r="L1044" s="75"/>
      <c r="M1044" s="75">
        <v>367.24099999999999</v>
      </c>
      <c r="AC1044">
        <v>-56.698529999999998</v>
      </c>
      <c r="AG1044" s="75"/>
      <c r="AH1044" s="75"/>
      <c r="AK1044" s="75">
        <v>0</v>
      </c>
      <c r="AQ1044" s="146">
        <v>183.517</v>
      </c>
      <c r="CU1044" s="250">
        <v>168</v>
      </c>
    </row>
    <row r="1045" spans="1:99" ht="112.5" hidden="1" x14ac:dyDescent="0.3">
      <c r="A1045" s="138" t="s">
        <v>829</v>
      </c>
      <c r="B1045" s="11">
        <v>936</v>
      </c>
      <c r="C1045" s="42" t="s">
        <v>209</v>
      </c>
      <c r="D1045" s="42" t="s">
        <v>117</v>
      </c>
      <c r="E1045" s="12" t="s">
        <v>832</v>
      </c>
      <c r="F1045" s="12" t="s">
        <v>50</v>
      </c>
      <c r="G1045" s="53">
        <f>G1046</f>
        <v>0</v>
      </c>
      <c r="H1045" s="111"/>
      <c r="I1045" s="112"/>
      <c r="J1045" s="111"/>
      <c r="K1045" s="76"/>
      <c r="L1045" s="75"/>
      <c r="M1045" s="75"/>
      <c r="AG1045" s="75"/>
      <c r="AH1045" s="75"/>
    </row>
    <row r="1046" spans="1:99" ht="37.5" hidden="1" x14ac:dyDescent="0.3">
      <c r="A1046" s="138" t="s">
        <v>425</v>
      </c>
      <c r="B1046" s="11">
        <v>936</v>
      </c>
      <c r="C1046" s="42" t="s">
        <v>209</v>
      </c>
      <c r="D1046" s="42" t="s">
        <v>117</v>
      </c>
      <c r="E1046" s="12" t="s">
        <v>832</v>
      </c>
      <c r="F1046" s="42" t="s">
        <v>59</v>
      </c>
      <c r="G1046" s="53">
        <v>0</v>
      </c>
      <c r="H1046" s="111"/>
      <c r="I1046" s="112"/>
      <c r="J1046" s="111"/>
      <c r="K1046" s="76"/>
      <c r="L1046" s="75"/>
      <c r="M1046" s="75">
        <v>120.13200000000001</v>
      </c>
      <c r="AG1046" s="75"/>
      <c r="AH1046" s="75"/>
      <c r="AK1046" s="75">
        <v>0</v>
      </c>
      <c r="AQ1046" s="146">
        <v>290.83499999999998</v>
      </c>
    </row>
    <row r="1047" spans="1:99" ht="112.5" hidden="1" x14ac:dyDescent="0.3">
      <c r="A1047" s="138" t="s">
        <v>707</v>
      </c>
      <c r="B1047" s="11">
        <v>936</v>
      </c>
      <c r="C1047" s="42" t="s">
        <v>209</v>
      </c>
      <c r="D1047" s="42" t="s">
        <v>117</v>
      </c>
      <c r="E1047" s="42" t="s">
        <v>726</v>
      </c>
      <c r="F1047" s="12" t="s">
        <v>50</v>
      </c>
      <c r="G1047" s="53">
        <f>G1048</f>
        <v>0</v>
      </c>
      <c r="H1047" s="111"/>
      <c r="I1047" s="112"/>
      <c r="J1047" s="111"/>
      <c r="K1047" s="76"/>
      <c r="L1047" s="75"/>
      <c r="M1047" s="75"/>
      <c r="AG1047" s="75"/>
      <c r="AH1047" s="75"/>
    </row>
    <row r="1048" spans="1:99" ht="37.5" hidden="1" x14ac:dyDescent="0.3">
      <c r="A1048" s="138" t="s">
        <v>425</v>
      </c>
      <c r="B1048" s="11">
        <v>936</v>
      </c>
      <c r="C1048" s="42" t="s">
        <v>209</v>
      </c>
      <c r="D1048" s="42" t="s">
        <v>117</v>
      </c>
      <c r="E1048" s="42" t="s">
        <v>726</v>
      </c>
      <c r="F1048" s="42" t="s">
        <v>59</v>
      </c>
      <c r="G1048" s="53">
        <v>0</v>
      </c>
      <c r="H1048" s="111"/>
      <c r="I1048" s="112"/>
      <c r="J1048" s="111"/>
      <c r="K1048" s="76"/>
      <c r="L1048" s="75"/>
      <c r="M1048" s="75">
        <v>115.958</v>
      </c>
      <c r="AG1048" s="75"/>
      <c r="AH1048" s="75"/>
      <c r="AK1048" s="75">
        <v>0</v>
      </c>
      <c r="AQ1048" s="146">
        <v>136.50399999999999</v>
      </c>
    </row>
    <row r="1049" spans="1:99" ht="26.25" hidden="1" customHeight="1" x14ac:dyDescent="0.3">
      <c r="A1049" s="138" t="s">
        <v>289</v>
      </c>
      <c r="B1049" s="11">
        <v>936</v>
      </c>
      <c r="C1049" s="42" t="s">
        <v>209</v>
      </c>
      <c r="D1049" s="42" t="s">
        <v>117</v>
      </c>
      <c r="E1049" s="42" t="s">
        <v>647</v>
      </c>
      <c r="F1049" s="12" t="s">
        <v>50</v>
      </c>
      <c r="G1049" s="53">
        <f>G1050</f>
        <v>0</v>
      </c>
      <c r="H1049" s="111"/>
      <c r="I1049" s="112"/>
      <c r="J1049" s="111"/>
      <c r="K1049" s="76"/>
      <c r="L1049" s="75"/>
      <c r="M1049" s="75"/>
      <c r="AG1049" s="75"/>
      <c r="AH1049" s="75"/>
    </row>
    <row r="1050" spans="1:99" ht="37.5" hidden="1" x14ac:dyDescent="0.3">
      <c r="A1050" s="138" t="s">
        <v>425</v>
      </c>
      <c r="B1050" s="11">
        <v>936</v>
      </c>
      <c r="C1050" s="42" t="s">
        <v>209</v>
      </c>
      <c r="D1050" s="42" t="s">
        <v>117</v>
      </c>
      <c r="E1050" s="42" t="s">
        <v>647</v>
      </c>
      <c r="F1050" s="42" t="s">
        <v>59</v>
      </c>
      <c r="G1050" s="53">
        <v>0</v>
      </c>
      <c r="H1050" s="111"/>
      <c r="I1050" s="112"/>
      <c r="J1050" s="111"/>
      <c r="K1050" s="76"/>
      <c r="L1050" s="75"/>
      <c r="M1050" s="75"/>
      <c r="Z1050">
        <v>100</v>
      </c>
      <c r="AD1050">
        <v>115</v>
      </c>
      <c r="AG1050" s="75"/>
      <c r="AH1050" s="75"/>
      <c r="AN1050" s="145">
        <v>1547.1</v>
      </c>
    </row>
    <row r="1051" spans="1:99" ht="112.5" hidden="1" x14ac:dyDescent="0.3">
      <c r="A1051" s="138" t="s">
        <v>709</v>
      </c>
      <c r="B1051" s="11">
        <v>936</v>
      </c>
      <c r="C1051" s="42" t="s">
        <v>209</v>
      </c>
      <c r="D1051" s="42" t="s">
        <v>117</v>
      </c>
      <c r="E1051" s="42" t="s">
        <v>727</v>
      </c>
      <c r="F1051" s="12" t="s">
        <v>50</v>
      </c>
      <c r="G1051" s="53">
        <f>G1052</f>
        <v>0</v>
      </c>
      <c r="H1051" s="111"/>
      <c r="I1051" s="112"/>
      <c r="J1051" s="111"/>
      <c r="K1051" s="76"/>
      <c r="L1051" s="75"/>
      <c r="M1051" s="75"/>
      <c r="AG1051" s="75"/>
      <c r="AH1051" s="75"/>
    </row>
    <row r="1052" spans="1:99" ht="37.5" hidden="1" x14ac:dyDescent="0.3">
      <c r="A1052" s="138" t="s">
        <v>425</v>
      </c>
      <c r="B1052" s="11">
        <v>936</v>
      </c>
      <c r="C1052" s="42" t="s">
        <v>209</v>
      </c>
      <c r="D1052" s="42" t="s">
        <v>117</v>
      </c>
      <c r="E1052" s="42" t="s">
        <v>727</v>
      </c>
      <c r="F1052" s="42" t="s">
        <v>59</v>
      </c>
      <c r="G1052" s="53">
        <v>0</v>
      </c>
      <c r="H1052" s="111"/>
      <c r="I1052" s="112"/>
      <c r="J1052" s="111"/>
      <c r="K1052" s="76"/>
      <c r="L1052" s="75"/>
      <c r="M1052" s="75"/>
      <c r="AG1052" s="75"/>
      <c r="AH1052" s="75"/>
      <c r="AQ1052" s="146">
        <v>147.5</v>
      </c>
    </row>
    <row r="1053" spans="1:99" ht="105.75" hidden="1" customHeight="1" x14ac:dyDescent="0.3">
      <c r="A1053" s="138" t="s">
        <v>756</v>
      </c>
      <c r="B1053" s="11">
        <v>936</v>
      </c>
      <c r="C1053" s="42" t="s">
        <v>209</v>
      </c>
      <c r="D1053" s="42" t="s">
        <v>117</v>
      </c>
      <c r="E1053" s="42" t="s">
        <v>752</v>
      </c>
      <c r="F1053" s="12" t="s">
        <v>50</v>
      </c>
      <c r="G1053" s="53">
        <f>G1054</f>
        <v>0</v>
      </c>
      <c r="H1053" s="111"/>
      <c r="I1053" s="112"/>
      <c r="J1053" s="111"/>
      <c r="K1053" s="76"/>
      <c r="L1053" s="75"/>
      <c r="M1053" s="75"/>
      <c r="AG1053" s="75"/>
      <c r="AH1053" s="75"/>
    </row>
    <row r="1054" spans="1:99" ht="37.5" hidden="1" x14ac:dyDescent="0.3">
      <c r="A1054" s="138" t="s">
        <v>425</v>
      </c>
      <c r="B1054" s="11">
        <v>936</v>
      </c>
      <c r="C1054" s="42" t="s">
        <v>209</v>
      </c>
      <c r="D1054" s="42" t="s">
        <v>117</v>
      </c>
      <c r="E1054" s="42" t="s">
        <v>752</v>
      </c>
      <c r="F1054" s="42" t="s">
        <v>59</v>
      </c>
      <c r="G1054" s="53">
        <v>0</v>
      </c>
      <c r="H1054" s="111"/>
      <c r="I1054" s="112"/>
      <c r="J1054" s="111"/>
      <c r="K1054" s="76"/>
      <c r="L1054" s="75"/>
      <c r="M1054" s="75"/>
      <c r="AG1054" s="75"/>
      <c r="AH1054" s="75"/>
      <c r="AV1054" s="187">
        <v>155</v>
      </c>
    </row>
    <row r="1055" spans="1:99" ht="120" hidden="1" customHeight="1" x14ac:dyDescent="0.3">
      <c r="A1055" s="138" t="s">
        <v>765</v>
      </c>
      <c r="B1055" s="11">
        <v>936</v>
      </c>
      <c r="C1055" s="42" t="s">
        <v>209</v>
      </c>
      <c r="D1055" s="42" t="s">
        <v>117</v>
      </c>
      <c r="E1055" s="42" t="s">
        <v>763</v>
      </c>
      <c r="F1055" s="42" t="s">
        <v>50</v>
      </c>
      <c r="G1055" s="53">
        <f>G1056</f>
        <v>0</v>
      </c>
      <c r="H1055" s="111"/>
      <c r="I1055" s="112"/>
      <c r="J1055" s="111"/>
      <c r="K1055" s="76"/>
      <c r="L1055" s="75"/>
      <c r="M1055" s="75"/>
      <c r="AG1055" s="75"/>
      <c r="AH1055" s="75"/>
    </row>
    <row r="1056" spans="1:99" ht="37.5" hidden="1" x14ac:dyDescent="0.3">
      <c r="A1056" s="138" t="s">
        <v>425</v>
      </c>
      <c r="B1056" s="11">
        <v>936</v>
      </c>
      <c r="C1056" s="42" t="s">
        <v>209</v>
      </c>
      <c r="D1056" s="42" t="s">
        <v>117</v>
      </c>
      <c r="E1056" s="42" t="s">
        <v>763</v>
      </c>
      <c r="F1056" s="42" t="s">
        <v>59</v>
      </c>
      <c r="G1056" s="53">
        <v>0</v>
      </c>
      <c r="H1056" s="111"/>
      <c r="I1056" s="112"/>
      <c r="J1056" s="111"/>
      <c r="K1056" s="76"/>
      <c r="L1056" s="75"/>
      <c r="M1056" s="75"/>
      <c r="AG1056" s="75"/>
      <c r="AH1056" s="75"/>
      <c r="AY1056" s="218">
        <v>93.2</v>
      </c>
    </row>
    <row r="1057" spans="1:99" ht="112.5" hidden="1" x14ac:dyDescent="0.3">
      <c r="A1057" s="138" t="s">
        <v>895</v>
      </c>
      <c r="B1057" s="11">
        <v>936</v>
      </c>
      <c r="C1057" s="42" t="s">
        <v>209</v>
      </c>
      <c r="D1057" s="42" t="s">
        <v>117</v>
      </c>
      <c r="E1057" s="42" t="s">
        <v>902</v>
      </c>
      <c r="F1057" s="12" t="s">
        <v>50</v>
      </c>
      <c r="G1057" s="53">
        <f>G1058</f>
        <v>0</v>
      </c>
      <c r="H1057" s="111"/>
      <c r="I1057" s="112"/>
      <c r="J1057" s="111"/>
      <c r="K1057" s="76"/>
      <c r="L1057" s="75"/>
      <c r="M1057" s="75"/>
      <c r="AG1057" s="75"/>
      <c r="AH1057" s="75"/>
    </row>
    <row r="1058" spans="1:99" ht="37.5" hidden="1" x14ac:dyDescent="0.3">
      <c r="A1058" s="138" t="s">
        <v>425</v>
      </c>
      <c r="B1058" s="11">
        <v>936</v>
      </c>
      <c r="C1058" s="42" t="s">
        <v>209</v>
      </c>
      <c r="D1058" s="42" t="s">
        <v>117</v>
      </c>
      <c r="E1058" s="42" t="s">
        <v>902</v>
      </c>
      <c r="F1058" s="42" t="s">
        <v>59</v>
      </c>
      <c r="G1058" s="53">
        <v>0</v>
      </c>
      <c r="H1058" s="111"/>
      <c r="I1058" s="112"/>
      <c r="J1058" s="111"/>
      <c r="K1058" s="76"/>
      <c r="L1058" s="75"/>
      <c r="M1058" s="75"/>
      <c r="AG1058" s="75"/>
      <c r="AH1058" s="75"/>
      <c r="CB1058" s="218">
        <v>183.517</v>
      </c>
    </row>
    <row r="1059" spans="1:99" ht="93.75" hidden="1" x14ac:dyDescent="0.3">
      <c r="A1059" s="138" t="s">
        <v>897</v>
      </c>
      <c r="B1059" s="11">
        <v>936</v>
      </c>
      <c r="C1059" s="42" t="s">
        <v>209</v>
      </c>
      <c r="D1059" s="42" t="s">
        <v>117</v>
      </c>
      <c r="E1059" s="42" t="s">
        <v>903</v>
      </c>
      <c r="F1059" s="12" t="s">
        <v>50</v>
      </c>
      <c r="G1059" s="53">
        <f>G1060</f>
        <v>0</v>
      </c>
      <c r="H1059" s="111"/>
      <c r="I1059" s="112"/>
      <c r="J1059" s="111"/>
      <c r="K1059" s="76"/>
      <c r="L1059" s="75"/>
      <c r="M1059" s="75"/>
      <c r="AG1059" s="75"/>
      <c r="AH1059" s="75"/>
    </row>
    <row r="1060" spans="1:99" ht="37.5" hidden="1" x14ac:dyDescent="0.3">
      <c r="A1060" s="138" t="s">
        <v>425</v>
      </c>
      <c r="B1060" s="11">
        <v>936</v>
      </c>
      <c r="C1060" s="42" t="s">
        <v>209</v>
      </c>
      <c r="D1060" s="42" t="s">
        <v>117</v>
      </c>
      <c r="E1060" s="42" t="s">
        <v>903</v>
      </c>
      <c r="F1060" s="42" t="s">
        <v>59</v>
      </c>
      <c r="G1060" s="53">
        <v>0</v>
      </c>
      <c r="H1060" s="111"/>
      <c r="I1060" s="112"/>
      <c r="J1060" s="111"/>
      <c r="K1060" s="76"/>
      <c r="L1060" s="75"/>
      <c r="M1060" s="75"/>
      <c r="AG1060" s="75"/>
      <c r="AH1060" s="75"/>
      <c r="CB1060" s="218">
        <v>290.83499999999998</v>
      </c>
    </row>
    <row r="1061" spans="1:99" ht="93.75" hidden="1" x14ac:dyDescent="0.3">
      <c r="A1061" s="138" t="s">
        <v>924</v>
      </c>
      <c r="B1061" s="11">
        <v>936</v>
      </c>
      <c r="C1061" s="42" t="s">
        <v>209</v>
      </c>
      <c r="D1061" s="42" t="s">
        <v>117</v>
      </c>
      <c r="E1061" s="42" t="s">
        <v>933</v>
      </c>
      <c r="F1061" s="12" t="s">
        <v>50</v>
      </c>
      <c r="G1061" s="53">
        <f>G1062</f>
        <v>0</v>
      </c>
      <c r="H1061" s="111"/>
      <c r="I1061" s="112"/>
      <c r="J1061" s="111"/>
      <c r="K1061" s="76"/>
      <c r="L1061" s="75"/>
      <c r="M1061" s="75"/>
      <c r="AG1061" s="75"/>
      <c r="AH1061" s="75"/>
    </row>
    <row r="1062" spans="1:99" ht="37.5" hidden="1" x14ac:dyDescent="0.3">
      <c r="A1062" s="138" t="s">
        <v>425</v>
      </c>
      <c r="B1062" s="11">
        <v>936</v>
      </c>
      <c r="C1062" s="42" t="s">
        <v>209</v>
      </c>
      <c r="D1062" s="42" t="s">
        <v>117</v>
      </c>
      <c r="E1062" s="42" t="s">
        <v>933</v>
      </c>
      <c r="F1062" s="42" t="s">
        <v>59</v>
      </c>
      <c r="G1062" s="53">
        <v>0</v>
      </c>
      <c r="H1062" s="111"/>
      <c r="I1062" s="112"/>
      <c r="J1062" s="111"/>
      <c r="K1062" s="76"/>
      <c r="L1062" s="75"/>
      <c r="M1062" s="75"/>
      <c r="AG1062" s="75"/>
      <c r="AH1062" s="75"/>
      <c r="CF1062" s="187">
        <v>133</v>
      </c>
    </row>
    <row r="1063" spans="1:99" ht="37.5" x14ac:dyDescent="0.3">
      <c r="A1063" s="138" t="s">
        <v>64</v>
      </c>
      <c r="B1063" s="11">
        <v>936</v>
      </c>
      <c r="C1063" s="42" t="s">
        <v>209</v>
      </c>
      <c r="D1063" s="42" t="s">
        <v>117</v>
      </c>
      <c r="E1063" s="42" t="s">
        <v>834</v>
      </c>
      <c r="F1063" s="42" t="s">
        <v>50</v>
      </c>
      <c r="G1063" s="53">
        <f>G1065+G1067+G1069+G1071+G1077+G1079+G1081+G1093+G1095+G1096</f>
        <v>626.79999999999995</v>
      </c>
      <c r="H1063" s="111"/>
      <c r="I1063" s="112"/>
      <c r="J1063" s="111"/>
      <c r="K1063" s="76"/>
      <c r="L1063" s="75"/>
      <c r="M1063" s="75"/>
      <c r="AG1063" s="75"/>
      <c r="AH1063" s="75"/>
    </row>
    <row r="1064" spans="1:99" ht="93.75" x14ac:dyDescent="0.3">
      <c r="A1064" s="138" t="s">
        <v>1086</v>
      </c>
      <c r="B1064" s="11">
        <v>936</v>
      </c>
      <c r="C1064" s="42" t="s">
        <v>209</v>
      </c>
      <c r="D1064" s="42" t="s">
        <v>117</v>
      </c>
      <c r="E1064" s="42" t="s">
        <v>1017</v>
      </c>
      <c r="F1064" s="12" t="s">
        <v>50</v>
      </c>
      <c r="G1064" s="53">
        <f>G1065</f>
        <v>65</v>
      </c>
      <c r="H1064" s="111"/>
      <c r="I1064" s="112"/>
      <c r="J1064" s="111"/>
      <c r="K1064" s="76"/>
      <c r="L1064" s="75"/>
      <c r="M1064" s="75"/>
      <c r="AG1064" s="75"/>
      <c r="AH1064" s="75"/>
    </row>
    <row r="1065" spans="1:99" ht="37.5" x14ac:dyDescent="0.3">
      <c r="A1065" s="138" t="s">
        <v>425</v>
      </c>
      <c r="B1065" s="11">
        <v>936</v>
      </c>
      <c r="C1065" s="42" t="s">
        <v>209</v>
      </c>
      <c r="D1065" s="42" t="s">
        <v>117</v>
      </c>
      <c r="E1065" s="42" t="s">
        <v>1017</v>
      </c>
      <c r="F1065" s="42" t="s">
        <v>59</v>
      </c>
      <c r="G1065" s="53">
        <f>CU1065</f>
        <v>65</v>
      </c>
      <c r="H1065" s="111"/>
      <c r="I1065" s="112"/>
      <c r="J1065" s="111"/>
      <c r="K1065" s="76"/>
      <c r="L1065" s="75"/>
      <c r="M1065" s="75">
        <v>502</v>
      </c>
      <c r="AG1065" s="75"/>
      <c r="AH1065" s="75"/>
      <c r="AK1065" s="75">
        <v>0</v>
      </c>
      <c r="AQ1065" s="146">
        <v>442.82600000000002</v>
      </c>
      <c r="CU1065" s="250">
        <v>65</v>
      </c>
    </row>
    <row r="1066" spans="1:99" ht="108.75" customHeight="1" x14ac:dyDescent="0.3">
      <c r="A1066" s="138" t="s">
        <v>1087</v>
      </c>
      <c r="B1066" s="11">
        <v>936</v>
      </c>
      <c r="C1066" s="42" t="s">
        <v>209</v>
      </c>
      <c r="D1066" s="42" t="s">
        <v>117</v>
      </c>
      <c r="E1066" s="42" t="s">
        <v>1018</v>
      </c>
      <c r="F1066" s="12" t="s">
        <v>50</v>
      </c>
      <c r="G1066" s="53">
        <f>G1067</f>
        <v>561.79999999999995</v>
      </c>
      <c r="H1066" s="111"/>
      <c r="I1066" s="112"/>
      <c r="J1066" s="111"/>
      <c r="K1066" s="76"/>
      <c r="L1066" s="75"/>
      <c r="M1066" s="75"/>
      <c r="AG1066" s="75"/>
      <c r="AH1066" s="75"/>
    </row>
    <row r="1067" spans="1:99" ht="37.5" x14ac:dyDescent="0.3">
      <c r="A1067" s="138" t="s">
        <v>425</v>
      </c>
      <c r="B1067" s="11">
        <v>936</v>
      </c>
      <c r="C1067" s="42" t="s">
        <v>209</v>
      </c>
      <c r="D1067" s="42" t="s">
        <v>117</v>
      </c>
      <c r="E1067" s="42" t="s">
        <v>1018</v>
      </c>
      <c r="F1067" s="42" t="s">
        <v>59</v>
      </c>
      <c r="G1067" s="53">
        <f>CU1067</f>
        <v>561.79999999999995</v>
      </c>
      <c r="H1067" s="111"/>
      <c r="I1067" s="112"/>
      <c r="J1067" s="111"/>
      <c r="K1067" s="76"/>
      <c r="L1067" s="75"/>
      <c r="M1067" s="75">
        <v>225</v>
      </c>
      <c r="AG1067" s="75"/>
      <c r="AH1067" s="75"/>
      <c r="AK1067" s="75">
        <v>0</v>
      </c>
      <c r="AQ1067" s="146">
        <v>321.08699999999999</v>
      </c>
      <c r="CU1067" s="250">
        <v>561.79999999999995</v>
      </c>
    </row>
    <row r="1068" spans="1:99" ht="93.75" hidden="1" x14ac:dyDescent="0.3">
      <c r="A1068" s="138" t="s">
        <v>831</v>
      </c>
      <c r="B1068" s="11">
        <v>936</v>
      </c>
      <c r="C1068" s="42" t="s">
        <v>209</v>
      </c>
      <c r="D1068" s="42" t="s">
        <v>117</v>
      </c>
      <c r="E1068" s="42" t="s">
        <v>830</v>
      </c>
      <c r="F1068" s="12" t="s">
        <v>50</v>
      </c>
      <c r="G1068" s="53">
        <f>G1069</f>
        <v>0</v>
      </c>
      <c r="H1068" s="111"/>
      <c r="I1068" s="112"/>
      <c r="J1068" s="111"/>
      <c r="K1068" s="76"/>
      <c r="L1068" s="75"/>
      <c r="M1068" s="75"/>
      <c r="AG1068" s="75"/>
      <c r="AH1068" s="75"/>
    </row>
    <row r="1069" spans="1:99" ht="37.5" hidden="1" x14ac:dyDescent="0.3">
      <c r="A1069" s="138" t="s">
        <v>425</v>
      </c>
      <c r="B1069" s="11">
        <v>936</v>
      </c>
      <c r="C1069" s="42" t="s">
        <v>209</v>
      </c>
      <c r="D1069" s="42" t="s">
        <v>117</v>
      </c>
      <c r="E1069" s="42" t="s">
        <v>830</v>
      </c>
      <c r="F1069" s="42" t="s">
        <v>59</v>
      </c>
      <c r="G1069" s="53">
        <v>0</v>
      </c>
      <c r="H1069" s="111"/>
      <c r="I1069" s="112"/>
      <c r="J1069" s="111"/>
      <c r="K1069" s="76"/>
      <c r="L1069" s="75"/>
      <c r="M1069" s="75">
        <v>177</v>
      </c>
      <c r="AG1069" s="75"/>
      <c r="AH1069" s="75"/>
      <c r="AK1069" s="75">
        <v>0</v>
      </c>
      <c r="AQ1069" s="146">
        <v>541.63</v>
      </c>
    </row>
    <row r="1070" spans="1:99" ht="82.5" hidden="1" customHeight="1" x14ac:dyDescent="0.3">
      <c r="A1070" s="138" t="s">
        <v>720</v>
      </c>
      <c r="B1070" s="11">
        <v>936</v>
      </c>
      <c r="C1070" s="42" t="s">
        <v>209</v>
      </c>
      <c r="D1070" s="42" t="s">
        <v>117</v>
      </c>
      <c r="E1070" s="42" t="s">
        <v>719</v>
      </c>
      <c r="F1070" s="12" t="s">
        <v>50</v>
      </c>
      <c r="G1070" s="53">
        <f>G1071</f>
        <v>0</v>
      </c>
      <c r="H1070" s="111"/>
      <c r="I1070" s="112"/>
      <c r="J1070" s="111"/>
      <c r="K1070" s="76"/>
      <c r="L1070" s="75"/>
      <c r="M1070" s="75"/>
      <c r="AG1070" s="75"/>
      <c r="AH1070" s="75"/>
    </row>
    <row r="1071" spans="1:99" ht="47.25" hidden="1" customHeight="1" x14ac:dyDescent="0.3">
      <c r="A1071" s="138" t="s">
        <v>425</v>
      </c>
      <c r="B1071" s="11">
        <v>936</v>
      </c>
      <c r="C1071" s="42" t="s">
        <v>209</v>
      </c>
      <c r="D1071" s="42" t="s">
        <v>117</v>
      </c>
      <c r="E1071" s="42" t="s">
        <v>719</v>
      </c>
      <c r="F1071" s="42" t="s">
        <v>59</v>
      </c>
      <c r="G1071" s="53">
        <v>0</v>
      </c>
      <c r="H1071" s="111"/>
      <c r="I1071" s="112"/>
      <c r="J1071" s="111"/>
      <c r="K1071" s="76"/>
      <c r="L1071" s="75"/>
      <c r="M1071" s="75">
        <v>179</v>
      </c>
      <c r="AG1071" s="75"/>
      <c r="AH1071" s="75"/>
      <c r="AK1071" s="75">
        <v>0</v>
      </c>
      <c r="AQ1071" s="146">
        <v>252.696</v>
      </c>
    </row>
    <row r="1072" spans="1:99" ht="40.5" hidden="1" customHeight="1" x14ac:dyDescent="0.3">
      <c r="A1072" s="138" t="s">
        <v>409</v>
      </c>
      <c r="B1072" s="11">
        <v>936</v>
      </c>
      <c r="C1072" s="42" t="s">
        <v>209</v>
      </c>
      <c r="D1072" s="42" t="s">
        <v>117</v>
      </c>
      <c r="E1072" s="42" t="s">
        <v>421</v>
      </c>
      <c r="F1072" s="42" t="s">
        <v>50</v>
      </c>
      <c r="G1072" s="53"/>
      <c r="H1072" s="111"/>
      <c r="I1072" s="112"/>
      <c r="J1072" s="111"/>
      <c r="K1072" s="76"/>
      <c r="L1072" s="75"/>
      <c r="M1072" s="75"/>
      <c r="AG1072" s="75"/>
      <c r="AH1072" s="75"/>
    </row>
    <row r="1073" spans="1:51" ht="47.25" hidden="1" customHeight="1" x14ac:dyDescent="0.3">
      <c r="A1073" s="138" t="s">
        <v>685</v>
      </c>
      <c r="B1073" s="11">
        <v>936</v>
      </c>
      <c r="C1073" s="42" t="s">
        <v>209</v>
      </c>
      <c r="D1073" s="42" t="s">
        <v>117</v>
      </c>
      <c r="E1073" s="42" t="s">
        <v>683</v>
      </c>
      <c r="F1073" s="42" t="s">
        <v>50</v>
      </c>
      <c r="G1073" s="53"/>
      <c r="H1073" s="111"/>
      <c r="I1073" s="112"/>
      <c r="J1073" s="111"/>
      <c r="K1073" s="76"/>
      <c r="L1073" s="75"/>
      <c r="M1073" s="75"/>
      <c r="AG1073" s="75"/>
      <c r="AH1073" s="75"/>
    </row>
    <row r="1074" spans="1:51" ht="47.25" hidden="1" customHeight="1" x14ac:dyDescent="0.3">
      <c r="A1074" s="138" t="s">
        <v>425</v>
      </c>
      <c r="B1074" s="11">
        <v>936</v>
      </c>
      <c r="C1074" s="42" t="s">
        <v>209</v>
      </c>
      <c r="D1074" s="42" t="s">
        <v>117</v>
      </c>
      <c r="E1074" s="42" t="s">
        <v>683</v>
      </c>
      <c r="F1074" s="42" t="s">
        <v>59</v>
      </c>
      <c r="G1074" s="53"/>
      <c r="H1074" s="111"/>
      <c r="I1074" s="112"/>
      <c r="J1074" s="111"/>
      <c r="K1074" s="76"/>
      <c r="L1074" s="75"/>
      <c r="M1074" s="75"/>
      <c r="AG1074" s="75"/>
      <c r="AH1074" s="75"/>
    </row>
    <row r="1075" spans="1:51" ht="47.25" hidden="1" customHeight="1" x14ac:dyDescent="0.3">
      <c r="A1075" s="138" t="s">
        <v>685</v>
      </c>
      <c r="B1075" s="11">
        <v>936</v>
      </c>
      <c r="C1075" s="42" t="s">
        <v>209</v>
      </c>
      <c r="D1075" s="42" t="s">
        <v>117</v>
      </c>
      <c r="E1075" s="42" t="s">
        <v>684</v>
      </c>
      <c r="F1075" s="42" t="s">
        <v>50</v>
      </c>
      <c r="G1075" s="53"/>
      <c r="H1075" s="111"/>
      <c r="I1075" s="112"/>
      <c r="J1075" s="111"/>
      <c r="K1075" s="76"/>
      <c r="L1075" s="75"/>
      <c r="M1075" s="75"/>
      <c r="AG1075" s="75"/>
      <c r="AH1075" s="75"/>
    </row>
    <row r="1076" spans="1:51" ht="47.25" hidden="1" customHeight="1" x14ac:dyDescent="0.3">
      <c r="A1076" s="138" t="s">
        <v>425</v>
      </c>
      <c r="B1076" s="11">
        <v>936</v>
      </c>
      <c r="C1076" s="42" t="s">
        <v>209</v>
      </c>
      <c r="D1076" s="42" t="s">
        <v>117</v>
      </c>
      <c r="E1076" s="42" t="s">
        <v>684</v>
      </c>
      <c r="F1076" s="42" t="s">
        <v>59</v>
      </c>
      <c r="G1076" s="53"/>
      <c r="H1076" s="111"/>
      <c r="I1076" s="112"/>
      <c r="J1076" s="111"/>
      <c r="K1076" s="76"/>
      <c r="L1076" s="75"/>
      <c r="M1076" s="75"/>
      <c r="AG1076" s="75"/>
      <c r="AH1076" s="75"/>
    </row>
    <row r="1077" spans="1:51" ht="95.25" hidden="1" customHeight="1" x14ac:dyDescent="0.3">
      <c r="A1077" s="138" t="s">
        <v>722</v>
      </c>
      <c r="B1077" s="11">
        <v>936</v>
      </c>
      <c r="C1077" s="42" t="s">
        <v>209</v>
      </c>
      <c r="D1077" s="42" t="s">
        <v>117</v>
      </c>
      <c r="E1077" s="42" t="s">
        <v>721</v>
      </c>
      <c r="F1077" s="12" t="s">
        <v>50</v>
      </c>
      <c r="G1077" s="53">
        <f>G1078</f>
        <v>0</v>
      </c>
      <c r="H1077" s="111"/>
      <c r="I1077" s="112"/>
      <c r="J1077" s="111"/>
      <c r="K1077" s="76"/>
      <c r="L1077" s="75"/>
      <c r="M1077" s="75"/>
      <c r="AG1077" s="75"/>
      <c r="AH1077" s="75"/>
    </row>
    <row r="1078" spans="1:51" ht="47.25" hidden="1" customHeight="1" x14ac:dyDescent="0.3">
      <c r="A1078" s="138" t="s">
        <v>425</v>
      </c>
      <c r="B1078" s="11">
        <v>936</v>
      </c>
      <c r="C1078" s="42" t="s">
        <v>209</v>
      </c>
      <c r="D1078" s="42" t="s">
        <v>117</v>
      </c>
      <c r="E1078" s="42" t="s">
        <v>721</v>
      </c>
      <c r="F1078" s="42" t="s">
        <v>59</v>
      </c>
      <c r="G1078" s="53">
        <v>0</v>
      </c>
      <c r="H1078" s="111"/>
      <c r="I1078" s="112"/>
      <c r="J1078" s="111"/>
      <c r="K1078" s="76"/>
      <c r="L1078" s="75"/>
      <c r="M1078" s="75"/>
      <c r="AG1078" s="75"/>
      <c r="AH1078" s="75"/>
      <c r="AQ1078" s="146">
        <v>453</v>
      </c>
    </row>
    <row r="1079" spans="1:51" ht="72" hidden="1" customHeight="1" x14ac:dyDescent="0.3">
      <c r="A1079" s="138" t="s">
        <v>755</v>
      </c>
      <c r="B1079" s="11">
        <v>936</v>
      </c>
      <c r="C1079" s="42" t="s">
        <v>209</v>
      </c>
      <c r="D1079" s="42" t="s">
        <v>117</v>
      </c>
      <c r="E1079" s="42" t="s">
        <v>753</v>
      </c>
      <c r="F1079" s="12" t="s">
        <v>50</v>
      </c>
      <c r="G1079" s="53">
        <f>G1080</f>
        <v>0</v>
      </c>
      <c r="H1079" s="111"/>
      <c r="I1079" s="112"/>
      <c r="J1079" s="111"/>
      <c r="K1079" s="76"/>
      <c r="L1079" s="75"/>
      <c r="M1079" s="75"/>
      <c r="AG1079" s="75"/>
      <c r="AH1079" s="75"/>
    </row>
    <row r="1080" spans="1:51" ht="47.25" hidden="1" customHeight="1" x14ac:dyDescent="0.3">
      <c r="A1080" s="138" t="s">
        <v>425</v>
      </c>
      <c r="B1080" s="11">
        <v>936</v>
      </c>
      <c r="C1080" s="42" t="s">
        <v>209</v>
      </c>
      <c r="D1080" s="42" t="s">
        <v>117</v>
      </c>
      <c r="E1080" s="42" t="s">
        <v>753</v>
      </c>
      <c r="F1080" s="42" t="s">
        <v>59</v>
      </c>
      <c r="G1080" s="53">
        <v>0</v>
      </c>
      <c r="H1080" s="111"/>
      <c r="I1080" s="112"/>
      <c r="J1080" s="111"/>
      <c r="K1080" s="76"/>
      <c r="L1080" s="75"/>
      <c r="M1080" s="75"/>
      <c r="AG1080" s="75"/>
      <c r="AH1080" s="75"/>
      <c r="AV1080" s="187">
        <v>301</v>
      </c>
    </row>
    <row r="1081" spans="1:51" ht="89.25" hidden="1" customHeight="1" x14ac:dyDescent="0.3">
      <c r="A1081" s="138" t="s">
        <v>766</v>
      </c>
      <c r="B1081" s="11">
        <v>936</v>
      </c>
      <c r="C1081" s="42" t="s">
        <v>209</v>
      </c>
      <c r="D1081" s="42" t="s">
        <v>117</v>
      </c>
      <c r="E1081" s="42" t="s">
        <v>762</v>
      </c>
      <c r="F1081" s="42" t="s">
        <v>50</v>
      </c>
      <c r="G1081" s="53">
        <f>G1082</f>
        <v>0</v>
      </c>
      <c r="H1081" s="111"/>
      <c r="I1081" s="112"/>
      <c r="J1081" s="111"/>
      <c r="K1081" s="76"/>
      <c r="L1081" s="75"/>
      <c r="M1081" s="75"/>
      <c r="AG1081" s="75"/>
      <c r="AH1081" s="75"/>
    </row>
    <row r="1082" spans="1:51" ht="47.25" hidden="1" customHeight="1" x14ac:dyDescent="0.3">
      <c r="A1082" s="138" t="s">
        <v>425</v>
      </c>
      <c r="B1082" s="11">
        <v>936</v>
      </c>
      <c r="C1082" s="42" t="s">
        <v>209</v>
      </c>
      <c r="D1082" s="42" t="s">
        <v>117</v>
      </c>
      <c r="E1082" s="42" t="s">
        <v>762</v>
      </c>
      <c r="F1082" s="42" t="s">
        <v>59</v>
      </c>
      <c r="G1082" s="53">
        <v>0</v>
      </c>
      <c r="H1082" s="111"/>
      <c r="I1082" s="112"/>
      <c r="J1082" s="111"/>
      <c r="K1082" s="76"/>
      <c r="L1082" s="75"/>
      <c r="M1082" s="75"/>
      <c r="AG1082" s="75"/>
      <c r="AH1082" s="75"/>
      <c r="AY1082" s="218">
        <v>148</v>
      </c>
    </row>
    <row r="1083" spans="1:51" ht="86.25" hidden="1" customHeight="1" x14ac:dyDescent="0.3">
      <c r="A1083" s="138" t="s">
        <v>730</v>
      </c>
      <c r="B1083" s="11">
        <v>936</v>
      </c>
      <c r="C1083" s="42" t="s">
        <v>209</v>
      </c>
      <c r="D1083" s="42" t="s">
        <v>117</v>
      </c>
      <c r="E1083" s="42" t="s">
        <v>731</v>
      </c>
      <c r="F1083" s="12" t="s">
        <v>50</v>
      </c>
      <c r="G1083" s="53">
        <f>G1084+G1086+G1088+G1090</f>
        <v>0</v>
      </c>
      <c r="H1083" s="111"/>
      <c r="I1083" s="112"/>
      <c r="J1083" s="111"/>
      <c r="K1083" s="76"/>
      <c r="L1083" s="75"/>
      <c r="M1083" s="75"/>
      <c r="AG1083" s="75"/>
      <c r="AH1083" s="75"/>
    </row>
    <row r="1084" spans="1:51" ht="124.5" hidden="1" customHeight="1" x14ac:dyDescent="0.3">
      <c r="A1084" s="138" t="s">
        <v>732</v>
      </c>
      <c r="B1084" s="11">
        <v>936</v>
      </c>
      <c r="C1084" s="42" t="s">
        <v>209</v>
      </c>
      <c r="D1084" s="42" t="s">
        <v>117</v>
      </c>
      <c r="E1084" s="42" t="s">
        <v>733</v>
      </c>
      <c r="F1084" s="12" t="s">
        <v>50</v>
      </c>
      <c r="G1084" s="53">
        <f>G1085</f>
        <v>0</v>
      </c>
      <c r="H1084" s="111"/>
      <c r="I1084" s="112"/>
      <c r="J1084" s="111"/>
      <c r="K1084" s="76"/>
      <c r="L1084" s="75"/>
      <c r="M1084" s="75"/>
      <c r="AG1084" s="75"/>
      <c r="AH1084" s="75"/>
    </row>
    <row r="1085" spans="1:51" ht="47.25" hidden="1" customHeight="1" x14ac:dyDescent="0.3">
      <c r="A1085" s="138" t="s">
        <v>425</v>
      </c>
      <c r="B1085" s="11">
        <v>936</v>
      </c>
      <c r="C1085" s="42" t="s">
        <v>209</v>
      </c>
      <c r="D1085" s="42" t="s">
        <v>117</v>
      </c>
      <c r="E1085" s="42" t="s">
        <v>733</v>
      </c>
      <c r="F1085" s="42" t="s">
        <v>59</v>
      </c>
      <c r="G1085" s="53">
        <v>0</v>
      </c>
      <c r="H1085" s="111"/>
      <c r="I1085" s="112"/>
      <c r="J1085" s="111"/>
      <c r="K1085" s="76"/>
      <c r="L1085" s="75"/>
      <c r="M1085" s="75"/>
      <c r="AG1085" s="75"/>
      <c r="AH1085" s="75"/>
      <c r="AQ1085" s="146">
        <v>43.574280000000002</v>
      </c>
    </row>
    <row r="1086" spans="1:51" ht="129" hidden="1" customHeight="1" x14ac:dyDescent="0.3">
      <c r="A1086" s="138" t="s">
        <v>735</v>
      </c>
      <c r="B1086" s="11">
        <v>936</v>
      </c>
      <c r="C1086" s="42" t="s">
        <v>209</v>
      </c>
      <c r="D1086" s="42" t="s">
        <v>117</v>
      </c>
      <c r="E1086" s="42" t="s">
        <v>734</v>
      </c>
      <c r="F1086" s="12" t="s">
        <v>50</v>
      </c>
      <c r="G1086" s="53">
        <f>G1087</f>
        <v>0</v>
      </c>
      <c r="H1086" s="111"/>
      <c r="I1086" s="112"/>
      <c r="J1086" s="111"/>
      <c r="K1086" s="76"/>
      <c r="L1086" s="75"/>
      <c r="M1086" s="75"/>
      <c r="AG1086" s="75"/>
      <c r="AH1086" s="75"/>
    </row>
    <row r="1087" spans="1:51" ht="47.25" hidden="1" customHeight="1" x14ac:dyDescent="0.3">
      <c r="A1087" s="138" t="s">
        <v>425</v>
      </c>
      <c r="B1087" s="11">
        <v>936</v>
      </c>
      <c r="C1087" s="42" t="s">
        <v>209</v>
      </c>
      <c r="D1087" s="42" t="s">
        <v>117</v>
      </c>
      <c r="E1087" s="42" t="s">
        <v>734</v>
      </c>
      <c r="F1087" s="42" t="s">
        <v>59</v>
      </c>
      <c r="G1087" s="53">
        <v>0</v>
      </c>
      <c r="H1087" s="111"/>
      <c r="I1087" s="112"/>
      <c r="J1087" s="111"/>
      <c r="K1087" s="76"/>
      <c r="L1087" s="75"/>
      <c r="M1087" s="75"/>
      <c r="AG1087" s="75"/>
      <c r="AH1087" s="75"/>
      <c r="AQ1087" s="146">
        <v>33.39</v>
      </c>
    </row>
    <row r="1088" spans="1:51" ht="113.25" hidden="1" customHeight="1" x14ac:dyDescent="0.3">
      <c r="A1088" s="138" t="s">
        <v>736</v>
      </c>
      <c r="B1088" s="11">
        <v>936</v>
      </c>
      <c r="C1088" s="42" t="s">
        <v>209</v>
      </c>
      <c r="D1088" s="42" t="s">
        <v>117</v>
      </c>
      <c r="E1088" s="42" t="s">
        <v>744</v>
      </c>
      <c r="F1088" s="12" t="s">
        <v>50</v>
      </c>
      <c r="G1088" s="53">
        <f>G1089</f>
        <v>0</v>
      </c>
      <c r="H1088" s="111"/>
      <c r="I1088" s="112"/>
      <c r="J1088" s="111"/>
      <c r="K1088" s="76"/>
      <c r="L1088" s="75"/>
      <c r="M1088" s="75"/>
      <c r="AG1088" s="75"/>
      <c r="AH1088" s="75"/>
    </row>
    <row r="1089" spans="1:84" ht="47.25" hidden="1" customHeight="1" x14ac:dyDescent="0.3">
      <c r="A1089" s="138" t="s">
        <v>425</v>
      </c>
      <c r="B1089" s="11">
        <v>936</v>
      </c>
      <c r="C1089" s="42" t="s">
        <v>209</v>
      </c>
      <c r="D1089" s="42" t="s">
        <v>117</v>
      </c>
      <c r="E1089" s="42" t="s">
        <v>744</v>
      </c>
      <c r="F1089" s="42" t="s">
        <v>59</v>
      </c>
      <c r="G1089" s="53">
        <v>0</v>
      </c>
      <c r="H1089" s="111"/>
      <c r="I1089" s="112"/>
      <c r="J1089" s="111"/>
      <c r="K1089" s="76"/>
      <c r="L1089" s="75"/>
      <c r="M1089" s="75"/>
      <c r="AG1089" s="75"/>
      <c r="AH1089" s="75"/>
      <c r="AQ1089" s="146">
        <v>49.619149999999998</v>
      </c>
    </row>
    <row r="1090" spans="1:84" ht="142.5" hidden="1" customHeight="1" x14ac:dyDescent="0.3">
      <c r="A1090" s="138" t="s">
        <v>738</v>
      </c>
      <c r="B1090" s="11">
        <v>936</v>
      </c>
      <c r="C1090" s="42" t="s">
        <v>209</v>
      </c>
      <c r="D1090" s="42" t="s">
        <v>117</v>
      </c>
      <c r="E1090" s="42" t="s">
        <v>737</v>
      </c>
      <c r="F1090" s="12" t="s">
        <v>50</v>
      </c>
      <c r="G1090" s="53">
        <f>G1091</f>
        <v>0</v>
      </c>
      <c r="H1090" s="111"/>
      <c r="I1090" s="112"/>
      <c r="J1090" s="111"/>
      <c r="K1090" s="76"/>
      <c r="L1090" s="75"/>
      <c r="M1090" s="75"/>
      <c r="AG1090" s="75"/>
      <c r="AH1090" s="75"/>
    </row>
    <row r="1091" spans="1:84" ht="47.25" hidden="1" customHeight="1" x14ac:dyDescent="0.3">
      <c r="A1091" s="138" t="s">
        <v>425</v>
      </c>
      <c r="B1091" s="11">
        <v>936</v>
      </c>
      <c r="C1091" s="42" t="s">
        <v>209</v>
      </c>
      <c r="D1091" s="42" t="s">
        <v>117</v>
      </c>
      <c r="E1091" s="42" t="s">
        <v>737</v>
      </c>
      <c r="F1091" s="42" t="s">
        <v>59</v>
      </c>
      <c r="G1091" s="53">
        <v>0</v>
      </c>
      <c r="H1091" s="111"/>
      <c r="I1091" s="112"/>
      <c r="J1091" s="111"/>
      <c r="K1091" s="76"/>
      <c r="L1091" s="75"/>
      <c r="M1091" s="75"/>
      <c r="AG1091" s="75"/>
      <c r="AH1091" s="75"/>
      <c r="AQ1091" s="146">
        <v>0.45981</v>
      </c>
    </row>
    <row r="1092" spans="1:84" ht="82.5" hidden="1" customHeight="1" x14ac:dyDescent="0.3">
      <c r="A1092" s="138" t="s">
        <v>904</v>
      </c>
      <c r="B1092" s="11">
        <v>936</v>
      </c>
      <c r="C1092" s="42" t="s">
        <v>209</v>
      </c>
      <c r="D1092" s="42" t="s">
        <v>117</v>
      </c>
      <c r="E1092" s="42" t="s">
        <v>907</v>
      </c>
      <c r="F1092" s="12" t="s">
        <v>50</v>
      </c>
      <c r="G1092" s="53">
        <f>G1093</f>
        <v>0</v>
      </c>
      <c r="H1092" s="111"/>
      <c r="I1092" s="112"/>
      <c r="J1092" s="111"/>
      <c r="K1092" s="76"/>
      <c r="L1092" s="75"/>
      <c r="M1092" s="75"/>
      <c r="AG1092" s="75"/>
      <c r="AH1092" s="75"/>
    </row>
    <row r="1093" spans="1:84" ht="47.25" hidden="1" customHeight="1" x14ac:dyDescent="0.3">
      <c r="A1093" s="138" t="s">
        <v>425</v>
      </c>
      <c r="B1093" s="11">
        <v>936</v>
      </c>
      <c r="C1093" s="42" t="s">
        <v>209</v>
      </c>
      <c r="D1093" s="42" t="s">
        <v>117</v>
      </c>
      <c r="E1093" s="42" t="s">
        <v>907</v>
      </c>
      <c r="F1093" s="42" t="s">
        <v>59</v>
      </c>
      <c r="G1093" s="53">
        <v>0</v>
      </c>
      <c r="H1093" s="111"/>
      <c r="I1093" s="112"/>
      <c r="J1093" s="111"/>
      <c r="K1093" s="76"/>
      <c r="L1093" s="75"/>
      <c r="M1093" s="75"/>
      <c r="AG1093" s="75"/>
      <c r="AH1093" s="75"/>
      <c r="CB1093" s="218">
        <v>321.08699999999999</v>
      </c>
    </row>
    <row r="1094" spans="1:84" ht="66.75" hidden="1" customHeight="1" x14ac:dyDescent="0.3">
      <c r="A1094" s="138" t="s">
        <v>905</v>
      </c>
      <c r="B1094" s="11">
        <v>936</v>
      </c>
      <c r="C1094" s="42" t="s">
        <v>209</v>
      </c>
      <c r="D1094" s="42" t="s">
        <v>117</v>
      </c>
      <c r="E1094" s="42" t="s">
        <v>906</v>
      </c>
      <c r="F1094" s="12" t="s">
        <v>50</v>
      </c>
      <c r="G1094" s="53">
        <f>G1095</f>
        <v>0</v>
      </c>
      <c r="H1094" s="111"/>
      <c r="I1094" s="112"/>
      <c r="J1094" s="111"/>
      <c r="K1094" s="76"/>
      <c r="L1094" s="75"/>
      <c r="M1094" s="75"/>
      <c r="AG1094" s="75"/>
      <c r="AH1094" s="75"/>
    </row>
    <row r="1095" spans="1:84" ht="47.25" hidden="1" customHeight="1" x14ac:dyDescent="0.3">
      <c r="A1095" s="138" t="s">
        <v>425</v>
      </c>
      <c r="B1095" s="11">
        <v>936</v>
      </c>
      <c r="C1095" s="42" t="s">
        <v>209</v>
      </c>
      <c r="D1095" s="42" t="s">
        <v>117</v>
      </c>
      <c r="E1095" s="42" t="s">
        <v>906</v>
      </c>
      <c r="F1095" s="42" t="s">
        <v>59</v>
      </c>
      <c r="G1095" s="53">
        <v>0</v>
      </c>
      <c r="H1095" s="111"/>
      <c r="I1095" s="112"/>
      <c r="J1095" s="111"/>
      <c r="K1095" s="76"/>
      <c r="L1095" s="75"/>
      <c r="M1095" s="75"/>
      <c r="AG1095" s="75"/>
      <c r="AH1095" s="75"/>
      <c r="CB1095" s="218">
        <v>541.63</v>
      </c>
    </row>
    <row r="1096" spans="1:84" ht="72.75" hidden="1" customHeight="1" x14ac:dyDescent="0.3">
      <c r="A1096" s="138" t="s">
        <v>930</v>
      </c>
      <c r="B1096" s="11">
        <v>936</v>
      </c>
      <c r="C1096" s="42" t="s">
        <v>209</v>
      </c>
      <c r="D1096" s="42" t="s">
        <v>117</v>
      </c>
      <c r="E1096" s="42" t="s">
        <v>929</v>
      </c>
      <c r="F1096" s="12" t="s">
        <v>50</v>
      </c>
      <c r="G1096" s="53">
        <f>G1097</f>
        <v>0</v>
      </c>
      <c r="H1096" s="111"/>
      <c r="I1096" s="112"/>
      <c r="J1096" s="111"/>
      <c r="K1096" s="76"/>
      <c r="L1096" s="75"/>
      <c r="M1096" s="75"/>
      <c r="AG1096" s="75"/>
      <c r="AH1096" s="75"/>
    </row>
    <row r="1097" spans="1:84" ht="47.25" hidden="1" customHeight="1" x14ac:dyDescent="0.3">
      <c r="A1097" s="138" t="s">
        <v>425</v>
      </c>
      <c r="B1097" s="11">
        <v>936</v>
      </c>
      <c r="C1097" s="42" t="s">
        <v>209</v>
      </c>
      <c r="D1097" s="42" t="s">
        <v>117</v>
      </c>
      <c r="E1097" s="42" t="s">
        <v>929</v>
      </c>
      <c r="F1097" s="42" t="s">
        <v>59</v>
      </c>
      <c r="G1097" s="53">
        <v>0</v>
      </c>
      <c r="H1097" s="111"/>
      <c r="I1097" s="112"/>
      <c r="J1097" s="111"/>
      <c r="K1097" s="76"/>
      <c r="L1097" s="75"/>
      <c r="M1097" s="75"/>
      <c r="AG1097" s="75"/>
      <c r="AH1097" s="75"/>
      <c r="CF1097" s="187">
        <v>225</v>
      </c>
    </row>
    <row r="1098" spans="1:84" ht="63.6" customHeight="1" x14ac:dyDescent="0.3">
      <c r="A1098" s="236" t="s">
        <v>975</v>
      </c>
      <c r="B1098" s="11">
        <v>936</v>
      </c>
      <c r="C1098" s="12" t="s">
        <v>209</v>
      </c>
      <c r="D1098" s="12" t="s">
        <v>117</v>
      </c>
      <c r="E1098" s="42" t="s">
        <v>973</v>
      </c>
      <c r="F1098" s="12" t="s">
        <v>50</v>
      </c>
      <c r="G1098" s="53">
        <f>G1099</f>
        <v>2378.3000000000002</v>
      </c>
      <c r="H1098" s="111"/>
      <c r="I1098" s="112"/>
      <c r="J1098" s="111"/>
      <c r="K1098" s="76"/>
      <c r="L1098" s="75"/>
      <c r="M1098" s="75"/>
      <c r="AG1098" s="75"/>
      <c r="AH1098" s="75"/>
    </row>
    <row r="1099" spans="1:84" ht="47.25" customHeight="1" x14ac:dyDescent="0.3">
      <c r="A1099" s="138" t="s">
        <v>425</v>
      </c>
      <c r="B1099" s="11">
        <v>936</v>
      </c>
      <c r="C1099" s="12" t="s">
        <v>209</v>
      </c>
      <c r="D1099" s="12" t="s">
        <v>117</v>
      </c>
      <c r="E1099" s="42" t="s">
        <v>973</v>
      </c>
      <c r="F1099" s="12" t="s">
        <v>59</v>
      </c>
      <c r="G1099" s="53">
        <v>2378.3000000000002</v>
      </c>
      <c r="H1099" s="111"/>
      <c r="I1099" s="112"/>
      <c r="J1099" s="111"/>
      <c r="K1099" s="76"/>
      <c r="L1099" s="75"/>
      <c r="M1099" s="75"/>
      <c r="AG1099" s="75"/>
      <c r="AH1099" s="75"/>
    </row>
    <row r="1100" spans="1:84" ht="63" customHeight="1" x14ac:dyDescent="0.3">
      <c r="A1100" s="236" t="s">
        <v>975</v>
      </c>
      <c r="B1100" s="11">
        <v>936</v>
      </c>
      <c r="C1100" s="12" t="s">
        <v>209</v>
      </c>
      <c r="D1100" s="12" t="s">
        <v>117</v>
      </c>
      <c r="E1100" s="42" t="s">
        <v>974</v>
      </c>
      <c r="F1100" s="12" t="s">
        <v>50</v>
      </c>
      <c r="G1100" s="53">
        <f>G1101</f>
        <v>2378.3000000000002</v>
      </c>
      <c r="H1100" s="111"/>
      <c r="I1100" s="112"/>
      <c r="J1100" s="111"/>
      <c r="K1100" s="76"/>
      <c r="L1100" s="75"/>
      <c r="M1100" s="75"/>
      <c r="AG1100" s="75"/>
      <c r="AH1100" s="75"/>
    </row>
    <row r="1101" spans="1:84" ht="47.25" customHeight="1" x14ac:dyDescent="0.3">
      <c r="A1101" s="138" t="s">
        <v>425</v>
      </c>
      <c r="B1101" s="11">
        <v>936</v>
      </c>
      <c r="C1101" s="12" t="s">
        <v>209</v>
      </c>
      <c r="D1101" s="12" t="s">
        <v>117</v>
      </c>
      <c r="E1101" s="42" t="s">
        <v>974</v>
      </c>
      <c r="F1101" s="12" t="s">
        <v>59</v>
      </c>
      <c r="G1101" s="53">
        <v>2378.3000000000002</v>
      </c>
      <c r="H1101" s="111"/>
      <c r="I1101" s="112"/>
      <c r="J1101" s="111"/>
      <c r="K1101" s="76"/>
      <c r="L1101" s="75"/>
      <c r="M1101" s="75"/>
      <c r="AG1101" s="75"/>
      <c r="AH1101" s="75"/>
    </row>
    <row r="1102" spans="1:84" ht="50.25" customHeight="1" x14ac:dyDescent="0.3">
      <c r="A1102" s="151" t="s">
        <v>12</v>
      </c>
      <c r="B1102" s="11">
        <v>936</v>
      </c>
      <c r="C1102" s="12" t="s">
        <v>209</v>
      </c>
      <c r="D1102" s="12" t="s">
        <v>117</v>
      </c>
      <c r="E1102" s="13" t="s">
        <v>102</v>
      </c>
      <c r="F1102" s="12" t="s">
        <v>50</v>
      </c>
      <c r="G1102" s="53">
        <f>G1105+G1117+G1113</f>
        <v>15429.778560000001</v>
      </c>
      <c r="H1102" s="111"/>
      <c r="I1102" s="112"/>
      <c r="J1102" s="111"/>
      <c r="K1102" s="76"/>
      <c r="L1102" s="75"/>
      <c r="M1102" s="75"/>
      <c r="AG1102" s="75"/>
      <c r="AH1102" s="75"/>
    </row>
    <row r="1103" spans="1:84" ht="56.25" hidden="1" x14ac:dyDescent="0.3">
      <c r="A1103" s="138" t="s">
        <v>253</v>
      </c>
      <c r="B1103" s="11">
        <v>936</v>
      </c>
      <c r="C1103" s="12" t="s">
        <v>209</v>
      </c>
      <c r="D1103" s="12" t="s">
        <v>117</v>
      </c>
      <c r="E1103" s="12" t="s">
        <v>256</v>
      </c>
      <c r="F1103" s="12" t="s">
        <v>50</v>
      </c>
      <c r="G1103" s="53">
        <f>G1104</f>
        <v>0</v>
      </c>
      <c r="H1103" s="111"/>
      <c r="I1103" s="112"/>
      <c r="J1103" s="111"/>
      <c r="K1103" s="76"/>
      <c r="L1103" s="75"/>
      <c r="M1103" s="75"/>
      <c r="AG1103" s="75"/>
      <c r="AH1103" s="75"/>
    </row>
    <row r="1104" spans="1:84" ht="37.5" hidden="1" x14ac:dyDescent="0.3">
      <c r="A1104" s="138" t="s">
        <v>425</v>
      </c>
      <c r="B1104" s="11">
        <v>936</v>
      </c>
      <c r="C1104" s="12" t="s">
        <v>209</v>
      </c>
      <c r="D1104" s="12" t="s">
        <v>117</v>
      </c>
      <c r="E1104" s="12" t="s">
        <v>256</v>
      </c>
      <c r="F1104" s="12" t="s">
        <v>59</v>
      </c>
      <c r="G1104" s="53">
        <v>0</v>
      </c>
      <c r="H1104" s="111"/>
      <c r="I1104" s="112"/>
      <c r="J1104" s="111"/>
      <c r="K1104" s="76"/>
      <c r="L1104" s="75"/>
      <c r="M1104" s="75"/>
      <c r="AG1104" s="75"/>
      <c r="AH1104" s="75"/>
    </row>
    <row r="1105" spans="1:112" ht="37.5" hidden="1" collapsed="1" x14ac:dyDescent="0.3">
      <c r="A1105" s="176" t="s">
        <v>401</v>
      </c>
      <c r="B1105" s="47">
        <v>936</v>
      </c>
      <c r="C1105" s="42" t="s">
        <v>209</v>
      </c>
      <c r="D1105" s="42" t="s">
        <v>117</v>
      </c>
      <c r="E1105" s="42" t="s">
        <v>1165</v>
      </c>
      <c r="F1105" s="18" t="s">
        <v>50</v>
      </c>
      <c r="G1105" s="53">
        <f>G1106</f>
        <v>13131.314</v>
      </c>
      <c r="H1105" s="111"/>
      <c r="I1105" s="112"/>
      <c r="J1105" s="111"/>
      <c r="K1105" s="76"/>
      <c r="L1105" s="75"/>
      <c r="M1105" s="75"/>
      <c r="AG1105" s="75"/>
      <c r="AH1105" s="75"/>
    </row>
    <row r="1106" spans="1:112" ht="45.75" customHeight="1" x14ac:dyDescent="0.3">
      <c r="A1106" s="176" t="s">
        <v>1166</v>
      </c>
      <c r="B1106" s="47">
        <v>936</v>
      </c>
      <c r="C1106" s="42" t="s">
        <v>209</v>
      </c>
      <c r="D1106" s="42" t="s">
        <v>117</v>
      </c>
      <c r="E1106" s="42" t="s">
        <v>1167</v>
      </c>
      <c r="F1106" s="18" t="s">
        <v>50</v>
      </c>
      <c r="G1106" s="53">
        <f>G1107+G1111+G1115</f>
        <v>13131.314</v>
      </c>
      <c r="H1106" s="111"/>
      <c r="I1106" s="112"/>
      <c r="J1106" s="111"/>
      <c r="K1106" s="76"/>
      <c r="L1106" s="75"/>
      <c r="M1106" s="75"/>
      <c r="AG1106" s="75"/>
      <c r="AH1106" s="75"/>
    </row>
    <row r="1107" spans="1:112" ht="38.25" customHeight="1" x14ac:dyDescent="0.3">
      <c r="A1107" s="158" t="s">
        <v>352</v>
      </c>
      <c r="B1107" s="47">
        <v>936</v>
      </c>
      <c r="C1107" s="42" t="s">
        <v>209</v>
      </c>
      <c r="D1107" s="42" t="s">
        <v>117</v>
      </c>
      <c r="E1107" s="42" t="s">
        <v>1167</v>
      </c>
      <c r="F1107" s="42" t="s">
        <v>50</v>
      </c>
      <c r="G1107" s="53">
        <f>G1108+G1110+G1109</f>
        <v>13131.314</v>
      </c>
      <c r="H1107" s="111"/>
      <c r="I1107" s="112"/>
      <c r="J1107" s="111"/>
      <c r="K1107" s="76"/>
      <c r="L1107" s="75"/>
      <c r="M1107" s="75"/>
      <c r="AG1107" s="75"/>
      <c r="AH1107" s="75"/>
    </row>
    <row r="1108" spans="1:112" ht="38.25" customHeight="1" x14ac:dyDescent="0.3">
      <c r="A1108" s="138" t="s">
        <v>425</v>
      </c>
      <c r="B1108" s="54">
        <v>936</v>
      </c>
      <c r="C1108" s="42" t="s">
        <v>209</v>
      </c>
      <c r="D1108" s="42" t="s">
        <v>117</v>
      </c>
      <c r="E1108" s="42" t="s">
        <v>1168</v>
      </c>
      <c r="F1108" s="42" t="s">
        <v>59</v>
      </c>
      <c r="G1108" s="53">
        <f>CQ1108+CY1108</f>
        <v>13131.314</v>
      </c>
      <c r="H1108" s="111"/>
      <c r="I1108" s="112">
        <v>14080.7</v>
      </c>
      <c r="J1108" s="111">
        <v>142.30000000000001</v>
      </c>
      <c r="K1108" s="76">
        <v>842.7</v>
      </c>
      <c r="L1108" s="75"/>
      <c r="M1108" s="75">
        <v>8.6</v>
      </c>
      <c r="T1108">
        <f>-0.1634-230.41008</f>
        <v>-230.57347999999999</v>
      </c>
      <c r="U1108">
        <f>-3026.5-808.97308+500</f>
        <v>-3335.4730799999998</v>
      </c>
      <c r="Z1108">
        <v>12.06954</v>
      </c>
      <c r="AG1108" s="75"/>
      <c r="AH1108" s="75"/>
      <c r="AK1108" s="75">
        <v>17152.3</v>
      </c>
      <c r="AN1108" s="145">
        <v>25.5</v>
      </c>
      <c r="AO1108" s="145">
        <v>2523.3000000000002</v>
      </c>
      <c r="AR1108" s="187">
        <v>-2557.4560000000001</v>
      </c>
      <c r="BO1108" s="230">
        <f>12659.5+102125.1</f>
        <v>114784.6</v>
      </c>
      <c r="BP1108" s="231">
        <v>127.9</v>
      </c>
      <c r="BT1108" s="146">
        <v>-254.4</v>
      </c>
      <c r="BU1108" s="146">
        <v>-2.5</v>
      </c>
      <c r="CQ1108" s="94">
        <f>13000+132</f>
        <v>13132</v>
      </c>
      <c r="CY1108" s="187">
        <v>-0.68600000000000005</v>
      </c>
    </row>
    <row r="1109" spans="1:112" ht="61.5" hidden="1" customHeight="1" x14ac:dyDescent="0.3">
      <c r="A1109" s="138" t="s">
        <v>290</v>
      </c>
      <c r="B1109" s="54">
        <v>936</v>
      </c>
      <c r="C1109" s="42" t="s">
        <v>209</v>
      </c>
      <c r="D1109" s="42" t="s">
        <v>117</v>
      </c>
      <c r="E1109" s="42" t="s">
        <v>355</v>
      </c>
      <c r="F1109" s="42" t="s">
        <v>291</v>
      </c>
      <c r="G1109" s="53">
        <f>U1109+T1109-652.08195-2104.82813</f>
        <v>0</v>
      </c>
      <c r="H1109" s="111"/>
      <c r="I1109" s="112"/>
      <c r="J1109" s="111"/>
      <c r="K1109" s="76"/>
      <c r="L1109" s="75"/>
      <c r="M1109" s="75"/>
      <c r="T1109">
        <v>230.41007999999999</v>
      </c>
      <c r="U1109">
        <f>3026.5-500</f>
        <v>2526.5</v>
      </c>
      <c r="AG1109" s="75"/>
      <c r="AH1109" s="75"/>
    </row>
    <row r="1110" spans="1:112" ht="38.25" hidden="1" customHeight="1" x14ac:dyDescent="0.3">
      <c r="A1110" s="138" t="s">
        <v>264</v>
      </c>
      <c r="B1110" s="54">
        <v>936</v>
      </c>
      <c r="C1110" s="42" t="s">
        <v>209</v>
      </c>
      <c r="D1110" s="42" t="s">
        <v>117</v>
      </c>
      <c r="E1110" s="42" t="s">
        <v>355</v>
      </c>
      <c r="F1110" s="42" t="s">
        <v>261</v>
      </c>
      <c r="G1110" s="53">
        <v>0</v>
      </c>
      <c r="H1110" s="111"/>
      <c r="I1110" s="112"/>
      <c r="J1110" s="111"/>
      <c r="K1110" s="78"/>
      <c r="L1110" s="75"/>
      <c r="M1110" s="75"/>
      <c r="T1110">
        <v>-5.9999999999999995E-4</v>
      </c>
      <c r="U1110">
        <v>808.97307999999998</v>
      </c>
      <c r="Z1110">
        <v>-12.06954</v>
      </c>
      <c r="AG1110" s="75"/>
      <c r="AH1110" s="75"/>
      <c r="AK1110" s="75">
        <v>0</v>
      </c>
    </row>
    <row r="1111" spans="1:112" ht="38.25" hidden="1" customHeight="1" x14ac:dyDescent="0.3">
      <c r="A1111" s="158" t="s">
        <v>352</v>
      </c>
      <c r="B1111" s="47">
        <v>936</v>
      </c>
      <c r="C1111" s="42" t="s">
        <v>209</v>
      </c>
      <c r="D1111" s="42" t="s">
        <v>117</v>
      </c>
      <c r="E1111" s="42" t="s">
        <v>743</v>
      </c>
      <c r="F1111" s="42" t="s">
        <v>50</v>
      </c>
      <c r="G1111" s="53">
        <f>G1112</f>
        <v>0</v>
      </c>
      <c r="H1111" s="111"/>
      <c r="I1111" s="112"/>
      <c r="J1111" s="111"/>
      <c r="K1111" s="78"/>
      <c r="L1111" s="75"/>
      <c r="M1111" s="75"/>
      <c r="AG1111" s="75"/>
      <c r="AH1111" s="75"/>
    </row>
    <row r="1112" spans="1:112" ht="38.25" hidden="1" customHeight="1" x14ac:dyDescent="0.3">
      <c r="A1112" s="138" t="s">
        <v>425</v>
      </c>
      <c r="B1112" s="54">
        <v>936</v>
      </c>
      <c r="C1112" s="42" t="s">
        <v>209</v>
      </c>
      <c r="D1112" s="42" t="s">
        <v>117</v>
      </c>
      <c r="E1112" s="42" t="s">
        <v>743</v>
      </c>
      <c r="F1112" s="42" t="s">
        <v>59</v>
      </c>
      <c r="G1112" s="53">
        <v>0</v>
      </c>
      <c r="H1112" s="111"/>
      <c r="I1112" s="112"/>
      <c r="J1112" s="111"/>
      <c r="K1112" s="78"/>
      <c r="L1112" s="75"/>
      <c r="M1112" s="75"/>
      <c r="AG1112" s="75"/>
      <c r="AH1112" s="75"/>
      <c r="AR1112" s="187">
        <v>2557.4560000000001</v>
      </c>
    </row>
    <row r="1113" spans="1:112" ht="90.75" hidden="1" customHeight="1" x14ac:dyDescent="0.3">
      <c r="A1113" s="138" t="s">
        <v>810</v>
      </c>
      <c r="B1113" s="54">
        <v>936</v>
      </c>
      <c r="C1113" s="42" t="s">
        <v>209</v>
      </c>
      <c r="D1113" s="42" t="s">
        <v>117</v>
      </c>
      <c r="E1113" s="42" t="s">
        <v>809</v>
      </c>
      <c r="F1113" s="42" t="s">
        <v>50</v>
      </c>
      <c r="G1113" s="53">
        <f>G1114</f>
        <v>0</v>
      </c>
      <c r="H1113" s="111"/>
      <c r="I1113" s="112"/>
      <c r="J1113" s="111"/>
      <c r="K1113" s="78"/>
      <c r="L1113" s="75"/>
      <c r="M1113" s="75"/>
      <c r="AG1113" s="75"/>
      <c r="AH1113" s="75"/>
    </row>
    <row r="1114" spans="1:112" ht="38.25" hidden="1" customHeight="1" x14ac:dyDescent="0.3">
      <c r="A1114" s="138" t="s">
        <v>425</v>
      </c>
      <c r="B1114" s="54">
        <v>936</v>
      </c>
      <c r="C1114" s="42" t="s">
        <v>209</v>
      </c>
      <c r="D1114" s="42" t="s">
        <v>117</v>
      </c>
      <c r="E1114" s="42" t="s">
        <v>809</v>
      </c>
      <c r="F1114" s="42" t="s">
        <v>59</v>
      </c>
      <c r="G1114" s="53">
        <v>0</v>
      </c>
      <c r="H1114" s="111"/>
      <c r="I1114" s="112"/>
      <c r="J1114" s="111"/>
      <c r="K1114" s="78"/>
      <c r="L1114" s="75"/>
      <c r="M1114" s="75"/>
      <c r="AG1114" s="75"/>
      <c r="AH1114" s="75"/>
    </row>
    <row r="1115" spans="1:112" ht="75.75" hidden="1" customHeight="1" x14ac:dyDescent="0.3">
      <c r="A1115" s="138" t="s">
        <v>810</v>
      </c>
      <c r="B1115" s="54">
        <v>936</v>
      </c>
      <c r="C1115" s="42" t="s">
        <v>209</v>
      </c>
      <c r="D1115" s="42" t="s">
        <v>117</v>
      </c>
      <c r="E1115" s="42" t="s">
        <v>893</v>
      </c>
      <c r="F1115" s="42" t="s">
        <v>50</v>
      </c>
      <c r="G1115" s="53">
        <f>G1116</f>
        <v>0</v>
      </c>
      <c r="H1115" s="111"/>
      <c r="I1115" s="112"/>
      <c r="J1115" s="111"/>
      <c r="K1115" s="78"/>
      <c r="L1115" s="75"/>
      <c r="M1115" s="75"/>
      <c r="AG1115" s="75"/>
      <c r="AH1115" s="75"/>
    </row>
    <row r="1116" spans="1:112" ht="38.25" hidden="1" customHeight="1" x14ac:dyDescent="0.3">
      <c r="A1116" s="138" t="s">
        <v>425</v>
      </c>
      <c r="B1116" s="54">
        <v>936</v>
      </c>
      <c r="C1116" s="42" t="s">
        <v>209</v>
      </c>
      <c r="D1116" s="42" t="s">
        <v>117</v>
      </c>
      <c r="E1116" s="42" t="s">
        <v>893</v>
      </c>
      <c r="F1116" s="42" t="s">
        <v>59</v>
      </c>
      <c r="G1116" s="53">
        <v>0</v>
      </c>
      <c r="H1116" s="111"/>
      <c r="I1116" s="112"/>
      <c r="J1116" s="111"/>
      <c r="K1116" s="78"/>
      <c r="L1116" s="75"/>
      <c r="M1116" s="75"/>
      <c r="AG1116" s="75"/>
      <c r="AH1116" s="75"/>
    </row>
    <row r="1117" spans="1:112" ht="38.25" customHeight="1" x14ac:dyDescent="0.3">
      <c r="A1117" s="138" t="s">
        <v>409</v>
      </c>
      <c r="B1117" s="54">
        <v>936</v>
      </c>
      <c r="C1117" s="42" t="s">
        <v>209</v>
      </c>
      <c r="D1117" s="42" t="s">
        <v>117</v>
      </c>
      <c r="E1117" s="42" t="s">
        <v>106</v>
      </c>
      <c r="F1117" s="42" t="s">
        <v>50</v>
      </c>
      <c r="G1117" s="53">
        <f>G1118</f>
        <v>2298.4645600000003</v>
      </c>
      <c r="H1117" s="111"/>
      <c r="I1117" s="112"/>
      <c r="J1117" s="111"/>
      <c r="K1117" s="76"/>
      <c r="L1117" s="75"/>
      <c r="M1117" s="75"/>
      <c r="AG1117" s="75"/>
      <c r="AH1117" s="75"/>
    </row>
    <row r="1118" spans="1:112" ht="38.25" customHeight="1" x14ac:dyDescent="0.3">
      <c r="A1118" s="158" t="s">
        <v>62</v>
      </c>
      <c r="B1118" s="54">
        <v>936</v>
      </c>
      <c r="C1118" s="42" t="s">
        <v>209</v>
      </c>
      <c r="D1118" s="42" t="s">
        <v>117</v>
      </c>
      <c r="E1118" s="42" t="s">
        <v>356</v>
      </c>
      <c r="F1118" s="42" t="s">
        <v>50</v>
      </c>
      <c r="G1118" s="53">
        <f>G1119+G1129</f>
        <v>2298.4645600000003</v>
      </c>
      <c r="H1118" s="111"/>
      <c r="I1118" s="112"/>
      <c r="J1118" s="111"/>
      <c r="K1118" s="76"/>
      <c r="L1118" s="75"/>
      <c r="M1118" s="75"/>
      <c r="AG1118" s="75"/>
      <c r="AH1118" s="75"/>
    </row>
    <row r="1119" spans="1:112" ht="38.25" customHeight="1" x14ac:dyDescent="0.3">
      <c r="A1119" s="158" t="s">
        <v>352</v>
      </c>
      <c r="B1119" s="54">
        <v>936</v>
      </c>
      <c r="C1119" s="42" t="s">
        <v>209</v>
      </c>
      <c r="D1119" s="42" t="s">
        <v>117</v>
      </c>
      <c r="E1119" s="42" t="s">
        <v>357</v>
      </c>
      <c r="F1119" s="42" t="s">
        <v>50</v>
      </c>
      <c r="G1119" s="53">
        <f>G1120+G1121</f>
        <v>1701.7</v>
      </c>
      <c r="H1119" s="111"/>
      <c r="I1119" s="112"/>
      <c r="J1119" s="111"/>
      <c r="K1119" s="76"/>
      <c r="L1119" s="75"/>
      <c r="M1119" s="75"/>
      <c r="AG1119" s="75"/>
      <c r="AH1119" s="75"/>
    </row>
    <row r="1120" spans="1:112" ht="45" customHeight="1" x14ac:dyDescent="0.3">
      <c r="A1120" s="138" t="s">
        <v>425</v>
      </c>
      <c r="B1120" s="54">
        <v>936</v>
      </c>
      <c r="C1120" s="42" t="s">
        <v>209</v>
      </c>
      <c r="D1120" s="42" t="s">
        <v>117</v>
      </c>
      <c r="E1120" s="42" t="s">
        <v>357</v>
      </c>
      <c r="F1120" s="42" t="s">
        <v>59</v>
      </c>
      <c r="G1120" s="53">
        <f>CR1120+CU1120+DE1120+DH1120</f>
        <v>1701.7</v>
      </c>
      <c r="H1120" s="111">
        <v>3862.3</v>
      </c>
      <c r="I1120" s="112"/>
      <c r="J1120" s="111"/>
      <c r="K1120" s="76"/>
      <c r="L1120" s="75"/>
      <c r="M1120" s="75">
        <v>300</v>
      </c>
      <c r="U1120">
        <v>-74</v>
      </c>
      <c r="AE1120">
        <v>74</v>
      </c>
      <c r="AG1120" s="75"/>
      <c r="AH1120" s="75"/>
      <c r="AK1120" s="75">
        <v>0</v>
      </c>
      <c r="AR1120" s="146">
        <v>-128.166</v>
      </c>
      <c r="AV1120" s="187">
        <v>-22.672999999999998</v>
      </c>
      <c r="AZ1120" s="218">
        <v>-330</v>
      </c>
      <c r="BD1120" s="218">
        <v>-81.400000000000006</v>
      </c>
      <c r="BJ1120" s="187">
        <v>-723.60686999999996</v>
      </c>
      <c r="BL1120" s="187">
        <v>-206.20169000000001</v>
      </c>
      <c r="BN1120" s="229">
        <f>2900+600</f>
        <v>3500</v>
      </c>
      <c r="BU1120" s="146">
        <v>150</v>
      </c>
      <c r="BX1120" s="146">
        <v>2090</v>
      </c>
      <c r="CH1120" s="250">
        <v>600</v>
      </c>
      <c r="CR1120" s="94">
        <v>350</v>
      </c>
      <c r="CU1120" s="250">
        <v>1290</v>
      </c>
      <c r="DE1120" s="187">
        <v>-275</v>
      </c>
      <c r="DH1120" s="187">
        <v>336.7</v>
      </c>
    </row>
    <row r="1121" spans="1:109" ht="68.25" hidden="1" customHeight="1" x14ac:dyDescent="0.3">
      <c r="A1121" s="138" t="s">
        <v>290</v>
      </c>
      <c r="B1121" s="54">
        <v>936</v>
      </c>
      <c r="C1121" s="42" t="s">
        <v>209</v>
      </c>
      <c r="D1121" s="42" t="s">
        <v>117</v>
      </c>
      <c r="E1121" s="42" t="s">
        <v>357</v>
      </c>
      <c r="F1121" s="42" t="s">
        <v>291</v>
      </c>
      <c r="G1121" s="53">
        <f>U1121+AE1121</f>
        <v>0</v>
      </c>
      <c r="H1121" s="111"/>
      <c r="I1121" s="112"/>
      <c r="J1121" s="111"/>
      <c r="K1121" s="76"/>
      <c r="L1121" s="75"/>
      <c r="M1121" s="75"/>
      <c r="U1121">
        <v>74</v>
      </c>
      <c r="AE1121">
        <v>-74</v>
      </c>
      <c r="AG1121" s="75"/>
      <c r="AH1121" s="75"/>
      <c r="AK1121" s="75">
        <v>0</v>
      </c>
    </row>
    <row r="1122" spans="1:109" ht="45" hidden="1" customHeight="1" x14ac:dyDescent="0.3">
      <c r="A1122" s="208" t="s">
        <v>567</v>
      </c>
      <c r="B1122" s="97">
        <v>936</v>
      </c>
      <c r="C1122" s="39" t="s">
        <v>209</v>
      </c>
      <c r="D1122" s="39" t="s">
        <v>209</v>
      </c>
      <c r="E1122" s="39" t="s">
        <v>49</v>
      </c>
      <c r="F1122" s="39" t="s">
        <v>50</v>
      </c>
      <c r="G1122" s="64">
        <f>G1123</f>
        <v>0</v>
      </c>
      <c r="H1122" s="111"/>
      <c r="I1122" s="112"/>
      <c r="J1122" s="111"/>
      <c r="K1122" s="76"/>
      <c r="L1122" s="75"/>
      <c r="M1122" s="75"/>
      <c r="AG1122" s="75"/>
      <c r="AH1122" s="75"/>
    </row>
    <row r="1123" spans="1:109" ht="45" hidden="1" customHeight="1" x14ac:dyDescent="0.3">
      <c r="A1123" s="151" t="s">
        <v>161</v>
      </c>
      <c r="B1123" s="29" t="s">
        <v>285</v>
      </c>
      <c r="C1123" s="42" t="s">
        <v>209</v>
      </c>
      <c r="D1123" s="42" t="s">
        <v>209</v>
      </c>
      <c r="E1123" s="13" t="s">
        <v>99</v>
      </c>
      <c r="F1123" s="29" t="s">
        <v>50</v>
      </c>
      <c r="G1123" s="53">
        <f>G1124</f>
        <v>0</v>
      </c>
      <c r="H1123" s="111"/>
      <c r="I1123" s="112"/>
      <c r="J1123" s="111"/>
      <c r="K1123" s="76"/>
      <c r="L1123" s="75"/>
      <c r="M1123" s="75"/>
      <c r="AG1123" s="75"/>
      <c r="AH1123" s="75"/>
    </row>
    <row r="1124" spans="1:109" ht="30" hidden="1" customHeight="1" x14ac:dyDescent="0.3">
      <c r="A1124" s="138" t="s">
        <v>409</v>
      </c>
      <c r="B1124" s="11">
        <v>936</v>
      </c>
      <c r="C1124" s="42" t="s">
        <v>209</v>
      </c>
      <c r="D1124" s="42" t="s">
        <v>209</v>
      </c>
      <c r="E1124" s="42" t="s">
        <v>421</v>
      </c>
      <c r="F1124" s="42" t="s">
        <v>50</v>
      </c>
      <c r="G1124" s="53">
        <f>G1127</f>
        <v>0</v>
      </c>
      <c r="H1124" s="111"/>
      <c r="I1124" s="112"/>
      <c r="J1124" s="111"/>
      <c r="K1124" s="76"/>
      <c r="L1124" s="75"/>
      <c r="M1124" s="75"/>
      <c r="AG1124" s="75"/>
      <c r="AH1124" s="75"/>
    </row>
    <row r="1125" spans="1:109" ht="50.25" hidden="1" customHeight="1" x14ac:dyDescent="0.3">
      <c r="A1125" s="176" t="s">
        <v>401</v>
      </c>
      <c r="B1125" s="11">
        <v>936</v>
      </c>
      <c r="C1125" s="42" t="s">
        <v>209</v>
      </c>
      <c r="D1125" s="42" t="s">
        <v>209</v>
      </c>
      <c r="E1125" s="42" t="s">
        <v>650</v>
      </c>
      <c r="F1125" s="42" t="s">
        <v>50</v>
      </c>
      <c r="G1125" s="53">
        <f>G1126</f>
        <v>0</v>
      </c>
      <c r="H1125" s="111"/>
      <c r="I1125" s="112"/>
      <c r="J1125" s="111"/>
      <c r="K1125" s="76"/>
      <c r="L1125" s="75"/>
      <c r="M1125" s="75"/>
      <c r="AG1125" s="75"/>
      <c r="AH1125" s="75"/>
    </row>
    <row r="1126" spans="1:109" ht="30" hidden="1" customHeight="1" x14ac:dyDescent="0.3">
      <c r="A1126" s="138" t="s">
        <v>651</v>
      </c>
      <c r="B1126" s="11">
        <v>936</v>
      </c>
      <c r="C1126" s="42" t="s">
        <v>209</v>
      </c>
      <c r="D1126" s="42" t="s">
        <v>209</v>
      </c>
      <c r="E1126" s="42" t="s">
        <v>588</v>
      </c>
      <c r="F1126" s="42" t="s">
        <v>50</v>
      </c>
      <c r="G1126" s="53">
        <f>G1127</f>
        <v>0</v>
      </c>
      <c r="H1126" s="111"/>
      <c r="I1126" s="112"/>
      <c r="J1126" s="111"/>
      <c r="K1126" s="76"/>
      <c r="L1126" s="75"/>
      <c r="M1126" s="75"/>
      <c r="AG1126" s="75"/>
      <c r="AH1126" s="75"/>
    </row>
    <row r="1127" spans="1:109" ht="45" hidden="1" customHeight="1" x14ac:dyDescent="0.3">
      <c r="A1127" s="180" t="s">
        <v>568</v>
      </c>
      <c r="B1127" s="11">
        <v>936</v>
      </c>
      <c r="C1127" s="42" t="s">
        <v>209</v>
      </c>
      <c r="D1127" s="42" t="s">
        <v>209</v>
      </c>
      <c r="E1127" s="42" t="s">
        <v>588</v>
      </c>
      <c r="F1127" s="42" t="s">
        <v>50</v>
      </c>
      <c r="G1127" s="53">
        <f>G1128</f>
        <v>0</v>
      </c>
      <c r="H1127" s="111"/>
      <c r="I1127" s="112"/>
      <c r="J1127" s="111"/>
      <c r="K1127" s="76"/>
      <c r="L1127" s="75"/>
      <c r="M1127" s="75"/>
      <c r="AG1127" s="75"/>
      <c r="AH1127" s="75"/>
    </row>
    <row r="1128" spans="1:109" ht="45" hidden="1" customHeight="1" x14ac:dyDescent="0.3">
      <c r="A1128" s="138" t="s">
        <v>425</v>
      </c>
      <c r="B1128" s="11">
        <v>936</v>
      </c>
      <c r="C1128" s="42" t="s">
        <v>209</v>
      </c>
      <c r="D1128" s="42" t="s">
        <v>209</v>
      </c>
      <c r="E1128" s="42" t="s">
        <v>588</v>
      </c>
      <c r="F1128" s="42" t="s">
        <v>59</v>
      </c>
      <c r="G1128" s="68">
        <f>K1128+M1128-1738.9+Z1128+AG1128</f>
        <v>0</v>
      </c>
      <c r="H1128" s="111"/>
      <c r="I1128" s="112"/>
      <c r="J1128" s="111"/>
      <c r="K1128" s="76">
        <v>9999</v>
      </c>
      <c r="L1128" s="75"/>
      <c r="M1128" s="75">
        <v>101</v>
      </c>
      <c r="Z1128">
        <v>-101</v>
      </c>
      <c r="AG1128" s="75">
        <v>-8260.1</v>
      </c>
      <c r="AH1128" s="75"/>
      <c r="AK1128" s="75">
        <v>0</v>
      </c>
    </row>
    <row r="1129" spans="1:109" ht="33" customHeight="1" x14ac:dyDescent="0.3">
      <c r="A1129" s="138" t="s">
        <v>64</v>
      </c>
      <c r="B1129" s="54">
        <v>936</v>
      </c>
      <c r="C1129" s="42" t="s">
        <v>209</v>
      </c>
      <c r="D1129" s="42" t="s">
        <v>117</v>
      </c>
      <c r="E1129" s="42" t="s">
        <v>729</v>
      </c>
      <c r="F1129" s="42" t="s">
        <v>50</v>
      </c>
      <c r="G1129" s="68">
        <f>G1130</f>
        <v>596.76456000000007</v>
      </c>
      <c r="H1129" s="111"/>
      <c r="I1129" s="112"/>
      <c r="J1129" s="111"/>
      <c r="K1129" s="76"/>
      <c r="L1129" s="75"/>
      <c r="M1129" s="75"/>
      <c r="AG1129" s="75"/>
      <c r="AH1129" s="75"/>
    </row>
    <row r="1130" spans="1:109" ht="45" customHeight="1" x14ac:dyDescent="0.3">
      <c r="A1130" s="138" t="s">
        <v>425</v>
      </c>
      <c r="B1130" s="54">
        <v>936</v>
      </c>
      <c r="C1130" s="42" t="s">
        <v>209</v>
      </c>
      <c r="D1130" s="42" t="s">
        <v>117</v>
      </c>
      <c r="E1130" s="42" t="s">
        <v>729</v>
      </c>
      <c r="F1130" s="42" t="s">
        <v>59</v>
      </c>
      <c r="G1130" s="68">
        <f>704.508+DE1130</f>
        <v>596.76456000000007</v>
      </c>
      <c r="H1130" s="111"/>
      <c r="I1130" s="112"/>
      <c r="J1130" s="111"/>
      <c r="K1130" s="76"/>
      <c r="L1130" s="75"/>
      <c r="M1130" s="75"/>
      <c r="AG1130" s="75"/>
      <c r="AH1130" s="75"/>
      <c r="AQ1130" s="146">
        <v>397.76100000000002</v>
      </c>
      <c r="BM1130" s="95">
        <v>1977.3420000000001</v>
      </c>
      <c r="DE1130" s="187">
        <v>-107.74344000000001</v>
      </c>
    </row>
    <row r="1131" spans="1:109" ht="27.75" customHeight="1" x14ac:dyDescent="0.3">
      <c r="A1131" s="150" t="s">
        <v>293</v>
      </c>
      <c r="B1131" s="80">
        <v>936</v>
      </c>
      <c r="C1131" s="7" t="s">
        <v>119</v>
      </c>
      <c r="D1131" s="7" t="s">
        <v>112</v>
      </c>
      <c r="E1131" s="10" t="s">
        <v>49</v>
      </c>
      <c r="F1131" s="7" t="s">
        <v>50</v>
      </c>
      <c r="G1131" s="64">
        <f>G1132+G1138</f>
        <v>505</v>
      </c>
      <c r="H1131" s="111"/>
      <c r="I1131" s="112"/>
      <c r="J1131" s="111"/>
      <c r="K1131" s="76"/>
      <c r="L1131" s="75"/>
      <c r="M1131" s="75"/>
      <c r="AG1131" s="75"/>
      <c r="AH1131" s="75"/>
    </row>
    <row r="1132" spans="1:109" ht="38.25" customHeight="1" x14ac:dyDescent="0.3">
      <c r="A1132" s="150" t="s">
        <v>294</v>
      </c>
      <c r="B1132" s="79" t="s">
        <v>285</v>
      </c>
      <c r="C1132" s="7" t="s">
        <v>119</v>
      </c>
      <c r="D1132" s="7" t="s">
        <v>117</v>
      </c>
      <c r="E1132" s="10" t="s">
        <v>49</v>
      </c>
      <c r="F1132" s="7" t="s">
        <v>50</v>
      </c>
      <c r="G1132" s="64">
        <f>G1133</f>
        <v>505</v>
      </c>
      <c r="H1132" s="111"/>
      <c r="I1132" s="112"/>
      <c r="J1132" s="111"/>
      <c r="K1132" s="76"/>
      <c r="L1132" s="75"/>
      <c r="M1132" s="75"/>
      <c r="AG1132" s="75"/>
      <c r="AH1132" s="75"/>
    </row>
    <row r="1133" spans="1:109" ht="58.5" customHeight="1" x14ac:dyDescent="0.3">
      <c r="A1133" s="151" t="s">
        <v>160</v>
      </c>
      <c r="B1133" s="81" t="s">
        <v>285</v>
      </c>
      <c r="C1133" s="12" t="s">
        <v>119</v>
      </c>
      <c r="D1133" s="12" t="s">
        <v>117</v>
      </c>
      <c r="E1133" s="13" t="s">
        <v>95</v>
      </c>
      <c r="F1133" s="12" t="s">
        <v>50</v>
      </c>
      <c r="G1133" s="53">
        <f>G1134</f>
        <v>505</v>
      </c>
      <c r="H1133" s="111"/>
      <c r="I1133" s="112"/>
      <c r="J1133" s="111"/>
      <c r="K1133" s="76"/>
      <c r="L1133" s="75"/>
      <c r="M1133" s="75"/>
      <c r="AG1133" s="75"/>
      <c r="AH1133" s="75"/>
    </row>
    <row r="1134" spans="1:109" ht="75" x14ac:dyDescent="0.3">
      <c r="A1134" s="170" t="s">
        <v>6</v>
      </c>
      <c r="B1134" s="12" t="s">
        <v>285</v>
      </c>
      <c r="C1134" s="12" t="s">
        <v>119</v>
      </c>
      <c r="D1134" s="12" t="s">
        <v>117</v>
      </c>
      <c r="E1134" s="13" t="s">
        <v>98</v>
      </c>
      <c r="F1134" s="12" t="s">
        <v>50</v>
      </c>
      <c r="G1134" s="53">
        <f>G1135</f>
        <v>505</v>
      </c>
      <c r="H1134" s="111"/>
      <c r="I1134" s="112"/>
      <c r="J1134" s="111"/>
      <c r="K1134" s="76"/>
      <c r="L1134" s="75"/>
      <c r="M1134" s="75"/>
      <c r="AG1134" s="75"/>
      <c r="AH1134" s="75"/>
    </row>
    <row r="1135" spans="1:109" ht="27" customHeight="1" x14ac:dyDescent="0.3">
      <c r="A1135" s="138" t="s">
        <v>62</v>
      </c>
      <c r="B1135" s="12" t="s">
        <v>285</v>
      </c>
      <c r="C1135" s="12" t="s">
        <v>119</v>
      </c>
      <c r="D1135" s="12" t="s">
        <v>117</v>
      </c>
      <c r="E1135" s="12" t="s">
        <v>298</v>
      </c>
      <c r="F1135" s="12" t="s">
        <v>50</v>
      </c>
      <c r="G1135" s="53">
        <f>G1136</f>
        <v>505</v>
      </c>
      <c r="H1135" s="111"/>
      <c r="I1135" s="112"/>
      <c r="J1135" s="111"/>
      <c r="K1135" s="76"/>
      <c r="L1135" s="75"/>
      <c r="M1135" s="75"/>
      <c r="AG1135" s="75"/>
      <c r="AH1135" s="75"/>
    </row>
    <row r="1136" spans="1:109" ht="51" customHeight="1" x14ac:dyDescent="0.3">
      <c r="A1136" s="138" t="s">
        <v>297</v>
      </c>
      <c r="B1136" s="12" t="s">
        <v>285</v>
      </c>
      <c r="C1136" s="12" t="s">
        <v>119</v>
      </c>
      <c r="D1136" s="12" t="s">
        <v>117</v>
      </c>
      <c r="E1136" s="12" t="s">
        <v>299</v>
      </c>
      <c r="F1136" s="12" t="s">
        <v>50</v>
      </c>
      <c r="G1136" s="53">
        <f>G1137+G1147</f>
        <v>505</v>
      </c>
      <c r="H1136" s="111"/>
      <c r="I1136" s="112"/>
      <c r="J1136" s="111"/>
      <c r="K1136" s="76"/>
      <c r="L1136" s="75"/>
      <c r="M1136" s="75"/>
      <c r="AG1136" s="75"/>
      <c r="AH1136" s="75"/>
    </row>
    <row r="1137" spans="1:103" ht="37.5" x14ac:dyDescent="0.3">
      <c r="A1137" s="138" t="s">
        <v>425</v>
      </c>
      <c r="B1137" s="12" t="s">
        <v>285</v>
      </c>
      <c r="C1137" s="12" t="s">
        <v>119</v>
      </c>
      <c r="D1137" s="12" t="s">
        <v>117</v>
      </c>
      <c r="E1137" s="12" t="s">
        <v>299</v>
      </c>
      <c r="F1137" s="12" t="s">
        <v>59</v>
      </c>
      <c r="G1137" s="68">
        <f>CR1137+CY1137</f>
        <v>484.28703999999999</v>
      </c>
      <c r="H1137" s="111">
        <f>205</f>
        <v>205</v>
      </c>
      <c r="I1137" s="112"/>
      <c r="J1137" s="111"/>
      <c r="K1137" s="76"/>
      <c r="L1137" s="75"/>
      <c r="M1137" s="75"/>
      <c r="T1137">
        <v>98</v>
      </c>
      <c r="Z1137">
        <v>-147</v>
      </c>
      <c r="AD1137">
        <v>0.8</v>
      </c>
      <c r="AG1137" s="75"/>
      <c r="AH1137" s="75"/>
      <c r="AK1137" s="75">
        <v>205</v>
      </c>
      <c r="BE1137" s="218">
        <v>-113</v>
      </c>
      <c r="BJ1137" s="187">
        <v>208</v>
      </c>
      <c r="BN1137" s="229">
        <f>300+205</f>
        <v>505</v>
      </c>
      <c r="CR1137" s="94">
        <f>205+300</f>
        <v>505</v>
      </c>
      <c r="CY1137" s="187">
        <v>-20.712959999999999</v>
      </c>
    </row>
    <row r="1138" spans="1:103" ht="47.25" hidden="1" customHeight="1" x14ac:dyDescent="0.3">
      <c r="A1138" s="150" t="s">
        <v>295</v>
      </c>
      <c r="B1138" s="7" t="s">
        <v>285</v>
      </c>
      <c r="C1138" s="7" t="s">
        <v>119</v>
      </c>
      <c r="D1138" s="7" t="s">
        <v>209</v>
      </c>
      <c r="E1138" s="10" t="s">
        <v>49</v>
      </c>
      <c r="F1138" s="7" t="s">
        <v>50</v>
      </c>
      <c r="G1138" s="64">
        <f>G1139</f>
        <v>0</v>
      </c>
      <c r="H1138" s="111"/>
      <c r="I1138" s="112"/>
      <c r="J1138" s="111"/>
      <c r="K1138" s="76"/>
      <c r="L1138" s="75"/>
      <c r="M1138" s="75"/>
      <c r="AG1138" s="75"/>
      <c r="AH1138" s="75"/>
    </row>
    <row r="1139" spans="1:103" ht="64.5" hidden="1" customHeight="1" x14ac:dyDescent="0.3">
      <c r="A1139" s="151" t="s">
        <v>160</v>
      </c>
      <c r="B1139" s="81" t="s">
        <v>285</v>
      </c>
      <c r="C1139" s="12" t="s">
        <v>119</v>
      </c>
      <c r="D1139" s="12" t="s">
        <v>209</v>
      </c>
      <c r="E1139" s="13" t="s">
        <v>95</v>
      </c>
      <c r="F1139" s="12" t="s">
        <v>50</v>
      </c>
      <c r="G1139" s="53">
        <f>G1140</f>
        <v>0</v>
      </c>
      <c r="H1139" s="111"/>
      <c r="I1139" s="112"/>
      <c r="J1139" s="111"/>
      <c r="K1139" s="76"/>
      <c r="L1139" s="75"/>
      <c r="M1139" s="75"/>
      <c r="AG1139" s="75"/>
      <c r="AH1139" s="75"/>
    </row>
    <row r="1140" spans="1:103" ht="87" hidden="1" customHeight="1" x14ac:dyDescent="0.3">
      <c r="A1140" s="170" t="s">
        <v>6</v>
      </c>
      <c r="B1140" s="12" t="s">
        <v>285</v>
      </c>
      <c r="C1140" s="12" t="s">
        <v>119</v>
      </c>
      <c r="D1140" s="12" t="s">
        <v>209</v>
      </c>
      <c r="E1140" s="13" t="s">
        <v>98</v>
      </c>
      <c r="F1140" s="12" t="s">
        <v>50</v>
      </c>
      <c r="G1140" s="53">
        <f>G1141</f>
        <v>0</v>
      </c>
      <c r="H1140" s="111"/>
      <c r="I1140" s="112"/>
      <c r="J1140" s="111"/>
      <c r="K1140" s="76"/>
      <c r="L1140" s="75"/>
      <c r="M1140" s="75"/>
      <c r="AG1140" s="75"/>
      <c r="AH1140" s="75"/>
    </row>
    <row r="1141" spans="1:103" ht="50.25" hidden="1" customHeight="1" x14ac:dyDescent="0.3">
      <c r="A1141" s="138" t="s">
        <v>297</v>
      </c>
      <c r="B1141" s="12" t="s">
        <v>285</v>
      </c>
      <c r="C1141" s="12" t="s">
        <v>119</v>
      </c>
      <c r="D1141" s="12" t="s">
        <v>209</v>
      </c>
      <c r="E1141" s="12" t="s">
        <v>299</v>
      </c>
      <c r="F1141" s="12" t="s">
        <v>50</v>
      </c>
      <c r="G1141" s="53">
        <f>G1142</f>
        <v>0</v>
      </c>
      <c r="H1141" s="111"/>
      <c r="I1141" s="112"/>
      <c r="J1141" s="111"/>
      <c r="K1141" s="76"/>
      <c r="L1141" s="75"/>
      <c r="M1141" s="75"/>
      <c r="AG1141" s="75"/>
      <c r="AH1141" s="75"/>
    </row>
    <row r="1142" spans="1:103" ht="48.75" hidden="1" customHeight="1" x14ac:dyDescent="0.3">
      <c r="A1142" s="138" t="s">
        <v>425</v>
      </c>
      <c r="B1142" s="12" t="s">
        <v>285</v>
      </c>
      <c r="C1142" s="12" t="s">
        <v>119</v>
      </c>
      <c r="D1142" s="12" t="s">
        <v>209</v>
      </c>
      <c r="E1142" s="12" t="s">
        <v>299</v>
      </c>
      <c r="F1142" s="12" t="s">
        <v>59</v>
      </c>
      <c r="G1142" s="53">
        <f>H1142+AX1142+BE1142</f>
        <v>0</v>
      </c>
      <c r="H1142" s="111">
        <v>300</v>
      </c>
      <c r="I1142" s="112"/>
      <c r="J1142" s="111"/>
      <c r="K1142" s="76"/>
      <c r="L1142" s="75"/>
      <c r="M1142" s="75"/>
      <c r="AG1142" s="75"/>
      <c r="AH1142" s="75"/>
      <c r="AX1142" s="96">
        <v>-100</v>
      </c>
      <c r="BE1142" s="218">
        <v>-200</v>
      </c>
    </row>
    <row r="1143" spans="1:103" ht="47.25" hidden="1" customHeight="1" x14ac:dyDescent="0.3">
      <c r="A1143" s="138" t="s">
        <v>393</v>
      </c>
      <c r="B1143" s="12" t="s">
        <v>285</v>
      </c>
      <c r="C1143" s="12" t="s">
        <v>119</v>
      </c>
      <c r="D1143" s="12" t="s">
        <v>209</v>
      </c>
      <c r="E1143" s="11" t="s">
        <v>395</v>
      </c>
      <c r="F1143" s="12" t="s">
        <v>50</v>
      </c>
      <c r="G1143" s="53">
        <f>G1144</f>
        <v>0</v>
      </c>
      <c r="H1143" s="111"/>
      <c r="I1143" s="112"/>
      <c r="J1143" s="111"/>
      <c r="K1143" s="76"/>
      <c r="L1143" s="75"/>
      <c r="M1143" s="75"/>
      <c r="AG1143" s="75"/>
      <c r="AH1143" s="75"/>
    </row>
    <row r="1144" spans="1:103" ht="27.75" hidden="1" customHeight="1" x14ac:dyDescent="0.3">
      <c r="A1144" s="209" t="s">
        <v>394</v>
      </c>
      <c r="B1144" s="12" t="s">
        <v>285</v>
      </c>
      <c r="C1144" s="12" t="s">
        <v>119</v>
      </c>
      <c r="D1144" s="12" t="s">
        <v>209</v>
      </c>
      <c r="E1144" s="11" t="s">
        <v>620</v>
      </c>
      <c r="F1144" s="12" t="s">
        <v>50</v>
      </c>
      <c r="G1144" s="53">
        <f>G1145</f>
        <v>0</v>
      </c>
      <c r="H1144" s="111"/>
      <c r="I1144" s="112"/>
      <c r="J1144" s="111"/>
      <c r="K1144" s="76"/>
      <c r="L1144" s="75"/>
      <c r="M1144" s="75"/>
      <c r="AG1144" s="75"/>
      <c r="AH1144" s="75"/>
    </row>
    <row r="1145" spans="1:103" ht="70.5" hidden="1" customHeight="1" x14ac:dyDescent="0.3">
      <c r="A1145" s="173" t="s">
        <v>618</v>
      </c>
      <c r="B1145" s="12" t="s">
        <v>285</v>
      </c>
      <c r="C1145" s="12" t="s">
        <v>119</v>
      </c>
      <c r="D1145" s="12" t="s">
        <v>209</v>
      </c>
      <c r="E1145" s="11" t="s">
        <v>619</v>
      </c>
      <c r="F1145" s="12" t="s">
        <v>50</v>
      </c>
      <c r="G1145" s="31">
        <f>G1146</f>
        <v>0</v>
      </c>
      <c r="H1145" s="128"/>
      <c r="I1145" s="129"/>
      <c r="J1145" s="128"/>
      <c r="K1145" s="76"/>
      <c r="L1145" s="75"/>
      <c r="M1145" s="75"/>
      <c r="AG1145" s="75"/>
      <c r="AH1145" s="75"/>
    </row>
    <row r="1146" spans="1:103" ht="37.5" hidden="1" x14ac:dyDescent="0.3">
      <c r="A1146" s="138" t="s">
        <v>425</v>
      </c>
      <c r="B1146" s="12" t="s">
        <v>285</v>
      </c>
      <c r="C1146" s="12" t="s">
        <v>119</v>
      </c>
      <c r="D1146" s="12" t="s">
        <v>209</v>
      </c>
      <c r="E1146" s="11" t="s">
        <v>619</v>
      </c>
      <c r="F1146" s="12" t="s">
        <v>59</v>
      </c>
      <c r="G1146" s="31">
        <v>0</v>
      </c>
      <c r="H1146" s="128"/>
      <c r="I1146" s="129"/>
      <c r="J1146" s="128"/>
      <c r="K1146" s="76"/>
      <c r="L1146" s="75"/>
      <c r="M1146" s="75"/>
      <c r="AD1146">
        <v>-0.8</v>
      </c>
      <c r="AG1146" s="75"/>
      <c r="AH1146" s="75"/>
      <c r="AK1146" s="75">
        <v>111801.60000000001</v>
      </c>
    </row>
    <row r="1147" spans="1:103" x14ac:dyDescent="0.3">
      <c r="A1147" s="158" t="s">
        <v>60</v>
      </c>
      <c r="B1147" s="12" t="s">
        <v>285</v>
      </c>
      <c r="C1147" s="12" t="s">
        <v>119</v>
      </c>
      <c r="D1147" s="12" t="s">
        <v>117</v>
      </c>
      <c r="E1147" s="12" t="s">
        <v>299</v>
      </c>
      <c r="F1147" s="12" t="s">
        <v>61</v>
      </c>
      <c r="G1147" s="31">
        <f>CY1147</f>
        <v>20.712959999999999</v>
      </c>
      <c r="H1147" s="128"/>
      <c r="I1147" s="129"/>
      <c r="J1147" s="128"/>
      <c r="K1147" s="76"/>
      <c r="L1147" s="75"/>
      <c r="M1147" s="75"/>
      <c r="AG1147" s="75"/>
      <c r="AH1147" s="75"/>
      <c r="CY1147" s="187">
        <v>20.712959999999999</v>
      </c>
    </row>
    <row r="1148" spans="1:103" x14ac:dyDescent="0.3">
      <c r="A1148" s="150" t="s">
        <v>122</v>
      </c>
      <c r="B1148" s="7" t="s">
        <v>285</v>
      </c>
      <c r="C1148" s="7" t="s">
        <v>123</v>
      </c>
      <c r="D1148" s="7" t="s">
        <v>112</v>
      </c>
      <c r="E1148" s="10" t="s">
        <v>49</v>
      </c>
      <c r="F1148" s="7" t="s">
        <v>50</v>
      </c>
      <c r="G1148" s="64">
        <f>G1158+G1175+G1211+G1240</f>
        <v>24422.226400000003</v>
      </c>
      <c r="H1148" s="111"/>
      <c r="I1148" s="112"/>
      <c r="J1148" s="111"/>
      <c r="K1148" s="76"/>
      <c r="L1148" s="75"/>
      <c r="M1148" s="75"/>
      <c r="AG1148" s="75"/>
      <c r="AH1148" s="75"/>
    </row>
    <row r="1149" spans="1:103" ht="60.75" hidden="1" customHeight="1" x14ac:dyDescent="0.3">
      <c r="A1149" s="151" t="s">
        <v>160</v>
      </c>
      <c r="B1149" s="12" t="s">
        <v>285</v>
      </c>
      <c r="C1149" s="12" t="s">
        <v>119</v>
      </c>
      <c r="D1149" s="12" t="s">
        <v>209</v>
      </c>
      <c r="E1149" s="13" t="s">
        <v>95</v>
      </c>
      <c r="F1149" s="12" t="s">
        <v>50</v>
      </c>
      <c r="G1149" s="53">
        <f>G1150</f>
        <v>0</v>
      </c>
      <c r="H1149" s="111"/>
      <c r="I1149" s="112"/>
      <c r="J1149" s="111"/>
      <c r="K1149" s="76"/>
      <c r="L1149" s="75"/>
      <c r="M1149" s="75"/>
      <c r="AG1149" s="75"/>
      <c r="AH1149" s="75"/>
    </row>
    <row r="1150" spans="1:103" ht="75" hidden="1" x14ac:dyDescent="0.3">
      <c r="A1150" s="170" t="s">
        <v>6</v>
      </c>
      <c r="B1150" s="12" t="s">
        <v>285</v>
      </c>
      <c r="C1150" s="12" t="s">
        <v>119</v>
      </c>
      <c r="D1150" s="12" t="s">
        <v>209</v>
      </c>
      <c r="E1150" s="13" t="s">
        <v>98</v>
      </c>
      <c r="F1150" s="12" t="s">
        <v>50</v>
      </c>
      <c r="G1150" s="53">
        <f>G1156+G1158+G1151</f>
        <v>0</v>
      </c>
      <c r="H1150" s="111"/>
      <c r="I1150" s="112"/>
      <c r="J1150" s="111"/>
      <c r="K1150" s="76"/>
      <c r="L1150" s="75"/>
      <c r="M1150" s="75"/>
      <c r="AG1150" s="75"/>
      <c r="AH1150" s="75"/>
    </row>
    <row r="1151" spans="1:103" hidden="1" x14ac:dyDescent="0.3">
      <c r="A1151" s="138" t="s">
        <v>62</v>
      </c>
      <c r="B1151" s="12" t="s">
        <v>285</v>
      </c>
      <c r="C1151" s="12" t="s">
        <v>119</v>
      </c>
      <c r="D1151" s="12" t="s">
        <v>209</v>
      </c>
      <c r="E1151" s="12" t="s">
        <v>298</v>
      </c>
      <c r="F1151" s="12" t="s">
        <v>50</v>
      </c>
      <c r="G1151" s="53">
        <f>G1152</f>
        <v>0</v>
      </c>
      <c r="H1151" s="111"/>
      <c r="I1151" s="112"/>
      <c r="J1151" s="111"/>
      <c r="K1151" s="76"/>
      <c r="L1151" s="75"/>
      <c r="M1151" s="75"/>
      <c r="AG1151" s="75"/>
      <c r="AH1151" s="75"/>
    </row>
    <row r="1152" spans="1:103" ht="37.5" hidden="1" x14ac:dyDescent="0.3">
      <c r="A1152" s="138" t="s">
        <v>297</v>
      </c>
      <c r="B1152" s="12" t="s">
        <v>285</v>
      </c>
      <c r="C1152" s="12" t="s">
        <v>119</v>
      </c>
      <c r="D1152" s="12" t="s">
        <v>209</v>
      </c>
      <c r="E1152" s="12" t="s">
        <v>299</v>
      </c>
      <c r="F1152" s="12" t="s">
        <v>50</v>
      </c>
      <c r="G1152" s="53">
        <f>G1153</f>
        <v>0</v>
      </c>
      <c r="H1152" s="111"/>
      <c r="I1152" s="112"/>
      <c r="J1152" s="111"/>
      <c r="K1152" s="76"/>
      <c r="L1152" s="75"/>
      <c r="M1152" s="75"/>
      <c r="AG1152" s="75"/>
      <c r="AH1152" s="75"/>
    </row>
    <row r="1153" spans="1:34" ht="37.5" hidden="1" x14ac:dyDescent="0.3">
      <c r="A1153" s="138" t="s">
        <v>425</v>
      </c>
      <c r="B1153" s="12" t="s">
        <v>285</v>
      </c>
      <c r="C1153" s="12" t="s">
        <v>119</v>
      </c>
      <c r="D1153" s="12" t="s">
        <v>209</v>
      </c>
      <c r="E1153" s="12" t="s">
        <v>299</v>
      </c>
      <c r="F1153" s="12" t="s">
        <v>59</v>
      </c>
      <c r="G1153" s="53">
        <v>0</v>
      </c>
      <c r="H1153" s="111"/>
      <c r="I1153" s="112"/>
      <c r="J1153" s="111"/>
      <c r="K1153" s="76"/>
      <c r="L1153" s="75"/>
      <c r="M1153" s="75"/>
      <c r="AG1153" s="75"/>
      <c r="AH1153" s="75"/>
    </row>
    <row r="1154" spans="1:34" ht="37.5" hidden="1" x14ac:dyDescent="0.3">
      <c r="A1154" s="138" t="s">
        <v>393</v>
      </c>
      <c r="B1154" s="12" t="s">
        <v>285</v>
      </c>
      <c r="C1154" s="12" t="s">
        <v>119</v>
      </c>
      <c r="D1154" s="12" t="s">
        <v>209</v>
      </c>
      <c r="E1154" s="12" t="s">
        <v>395</v>
      </c>
      <c r="F1154" s="12" t="s">
        <v>50</v>
      </c>
      <c r="G1154" s="53">
        <f>G1155</f>
        <v>0</v>
      </c>
      <c r="H1154" s="111"/>
      <c r="I1154" s="112"/>
      <c r="J1154" s="111"/>
      <c r="K1154" s="76"/>
      <c r="L1154" s="75"/>
      <c r="M1154" s="75"/>
      <c r="AG1154" s="75"/>
      <c r="AH1154" s="75"/>
    </row>
    <row r="1155" spans="1:34" hidden="1" x14ac:dyDescent="0.3">
      <c r="A1155" s="138" t="s">
        <v>394</v>
      </c>
      <c r="B1155" s="12" t="s">
        <v>285</v>
      </c>
      <c r="C1155" s="12" t="s">
        <v>119</v>
      </c>
      <c r="D1155" s="12" t="s">
        <v>209</v>
      </c>
      <c r="E1155" s="12" t="s">
        <v>396</v>
      </c>
      <c r="F1155" s="12" t="s">
        <v>50</v>
      </c>
      <c r="G1155" s="53">
        <f>G1156</f>
        <v>0</v>
      </c>
      <c r="H1155" s="111"/>
      <c r="I1155" s="112"/>
      <c r="J1155" s="111"/>
      <c r="K1155" s="76"/>
      <c r="L1155" s="75"/>
      <c r="M1155" s="75"/>
      <c r="AG1155" s="75"/>
      <c r="AH1155" s="75"/>
    </row>
    <row r="1156" spans="1:34" ht="75" hidden="1" x14ac:dyDescent="0.3">
      <c r="A1156" s="138" t="s">
        <v>296</v>
      </c>
      <c r="B1156" s="12" t="s">
        <v>285</v>
      </c>
      <c r="C1156" s="12" t="s">
        <v>119</v>
      </c>
      <c r="D1156" s="12" t="s">
        <v>209</v>
      </c>
      <c r="E1156" s="12" t="s">
        <v>396</v>
      </c>
      <c r="F1156" s="12" t="s">
        <v>50</v>
      </c>
      <c r="G1156" s="31">
        <f>G1157</f>
        <v>0</v>
      </c>
      <c r="H1156" s="128"/>
      <c r="I1156" s="129"/>
      <c r="J1156" s="128"/>
      <c r="K1156" s="76"/>
      <c r="L1156" s="75"/>
      <c r="M1156" s="75"/>
      <c r="AG1156" s="75"/>
      <c r="AH1156" s="75"/>
    </row>
    <row r="1157" spans="1:34" ht="37.5" hidden="1" x14ac:dyDescent="0.3">
      <c r="A1157" s="138" t="s">
        <v>425</v>
      </c>
      <c r="B1157" s="12" t="s">
        <v>285</v>
      </c>
      <c r="C1157" s="12" t="s">
        <v>119</v>
      </c>
      <c r="D1157" s="12" t="s">
        <v>209</v>
      </c>
      <c r="E1157" s="12" t="s">
        <v>396</v>
      </c>
      <c r="F1157" s="12" t="s">
        <v>59</v>
      </c>
      <c r="G1157" s="31">
        <v>0</v>
      </c>
      <c r="H1157" s="128"/>
      <c r="I1157" s="129"/>
      <c r="J1157" s="128"/>
      <c r="K1157" s="76"/>
      <c r="L1157" s="75"/>
      <c r="M1157" s="75"/>
      <c r="AG1157" s="75"/>
      <c r="AH1157" s="75"/>
    </row>
    <row r="1158" spans="1:34" ht="29.25" hidden="1" customHeight="1" x14ac:dyDescent="0.3">
      <c r="A1158" s="150" t="s">
        <v>125</v>
      </c>
      <c r="B1158" s="10">
        <v>936</v>
      </c>
      <c r="C1158" s="7" t="s">
        <v>123</v>
      </c>
      <c r="D1158" s="17" t="s">
        <v>116</v>
      </c>
      <c r="E1158" s="10" t="s">
        <v>49</v>
      </c>
      <c r="F1158" s="7" t="s">
        <v>50</v>
      </c>
      <c r="G1158" s="64">
        <f>G1159</f>
        <v>0</v>
      </c>
      <c r="H1158" s="111"/>
      <c r="I1158" s="112"/>
      <c r="J1158" s="111"/>
      <c r="K1158" s="76"/>
      <c r="L1158" s="75"/>
      <c r="M1158" s="75"/>
      <c r="AG1158" s="75"/>
      <c r="AH1158" s="75"/>
    </row>
    <row r="1159" spans="1:34" ht="49.5" hidden="1" customHeight="1" x14ac:dyDescent="0.3">
      <c r="A1159" s="138" t="s">
        <v>38</v>
      </c>
      <c r="B1159" s="11">
        <v>936</v>
      </c>
      <c r="C1159" s="12" t="s">
        <v>123</v>
      </c>
      <c r="D1159" s="6" t="s">
        <v>116</v>
      </c>
      <c r="E1159" s="13" t="s">
        <v>400</v>
      </c>
      <c r="F1159" s="12" t="s">
        <v>50</v>
      </c>
      <c r="G1159" s="53">
        <f>G1160</f>
        <v>0</v>
      </c>
      <c r="H1159" s="111"/>
      <c r="I1159" s="112"/>
      <c r="J1159" s="111"/>
      <c r="K1159" s="76"/>
      <c r="L1159" s="75"/>
      <c r="M1159" s="75"/>
      <c r="AG1159" s="75"/>
      <c r="AH1159" s="75"/>
    </row>
    <row r="1160" spans="1:34" ht="63" hidden="1" customHeight="1" collapsed="1" x14ac:dyDescent="0.3">
      <c r="A1160" s="151" t="s">
        <v>138</v>
      </c>
      <c r="B1160" s="11">
        <v>936</v>
      </c>
      <c r="C1160" s="12" t="s">
        <v>123</v>
      </c>
      <c r="D1160" s="6" t="s">
        <v>116</v>
      </c>
      <c r="E1160" s="13" t="s">
        <v>51</v>
      </c>
      <c r="F1160" s="12" t="s">
        <v>50</v>
      </c>
      <c r="G1160" s="53">
        <f>G1161+G1168+G1166+G1171+G1173</f>
        <v>0</v>
      </c>
      <c r="H1160" s="111"/>
      <c r="I1160" s="112"/>
      <c r="J1160" s="111"/>
      <c r="K1160" s="76"/>
      <c r="L1160" s="75"/>
      <c r="M1160" s="75"/>
      <c r="AG1160" s="75"/>
      <c r="AH1160" s="75"/>
    </row>
    <row r="1161" spans="1:34" ht="43.5" hidden="1" customHeight="1" x14ac:dyDescent="0.3">
      <c r="A1161" s="138" t="s">
        <v>52</v>
      </c>
      <c r="B1161" s="12" t="s">
        <v>285</v>
      </c>
      <c r="C1161" s="12" t="s">
        <v>123</v>
      </c>
      <c r="D1161" s="12" t="s">
        <v>116</v>
      </c>
      <c r="E1161" s="12" t="s">
        <v>53</v>
      </c>
      <c r="F1161" s="12" t="s">
        <v>50</v>
      </c>
      <c r="G1161" s="53">
        <f>G1162+G1164</f>
        <v>0</v>
      </c>
      <c r="H1161" s="111"/>
      <c r="I1161" s="112"/>
      <c r="J1161" s="111"/>
      <c r="K1161" s="76"/>
      <c r="L1161" s="75"/>
      <c r="M1161" s="75"/>
      <c r="AG1161" s="75"/>
      <c r="AH1161" s="75"/>
    </row>
    <row r="1162" spans="1:34" ht="33.75" hidden="1" customHeight="1" x14ac:dyDescent="0.3">
      <c r="A1162" s="138" t="s">
        <v>73</v>
      </c>
      <c r="B1162" s="12" t="s">
        <v>285</v>
      </c>
      <c r="C1162" s="12" t="s">
        <v>123</v>
      </c>
      <c r="D1162" s="12" t="s">
        <v>116</v>
      </c>
      <c r="E1162" s="12" t="s">
        <v>39</v>
      </c>
      <c r="F1162" s="12" t="s">
        <v>50</v>
      </c>
      <c r="G1162" s="53">
        <f>G1163</f>
        <v>0</v>
      </c>
      <c r="H1162" s="111"/>
      <c r="I1162" s="112"/>
      <c r="J1162" s="111"/>
      <c r="K1162" s="76"/>
      <c r="L1162" s="75"/>
      <c r="M1162" s="75"/>
      <c r="AG1162" s="75"/>
      <c r="AH1162" s="75"/>
    </row>
    <row r="1163" spans="1:34" ht="45" hidden="1" customHeight="1" x14ac:dyDescent="0.3">
      <c r="A1163" s="138" t="s">
        <v>264</v>
      </c>
      <c r="B1163" s="12" t="s">
        <v>285</v>
      </c>
      <c r="C1163" s="12" t="s">
        <v>123</v>
      </c>
      <c r="D1163" s="12" t="s">
        <v>116</v>
      </c>
      <c r="E1163" s="12" t="s">
        <v>39</v>
      </c>
      <c r="F1163" s="12" t="s">
        <v>261</v>
      </c>
      <c r="G1163" s="53">
        <v>0</v>
      </c>
      <c r="H1163" s="111"/>
      <c r="I1163" s="112"/>
      <c r="J1163" s="111"/>
      <c r="K1163" s="76"/>
      <c r="L1163" s="75">
        <v>-4269.2</v>
      </c>
      <c r="M1163" s="75"/>
      <c r="AG1163" s="75"/>
      <c r="AH1163" s="75"/>
    </row>
    <row r="1164" spans="1:34" ht="37.5" hidden="1" x14ac:dyDescent="0.3">
      <c r="A1164" s="157" t="s">
        <v>374</v>
      </c>
      <c r="B1164" s="12" t="s">
        <v>285</v>
      </c>
      <c r="C1164" s="12" t="s">
        <v>123</v>
      </c>
      <c r="D1164" s="12" t="s">
        <v>116</v>
      </c>
      <c r="E1164" s="12" t="s">
        <v>377</v>
      </c>
      <c r="F1164" s="12" t="s">
        <v>50</v>
      </c>
      <c r="G1164" s="53">
        <f>G1165</f>
        <v>0</v>
      </c>
      <c r="H1164" s="111"/>
      <c r="I1164" s="112"/>
      <c r="J1164" s="111"/>
      <c r="K1164" s="76"/>
      <c r="L1164" s="75"/>
      <c r="M1164" s="75"/>
      <c r="AG1164" s="75"/>
      <c r="AH1164" s="75"/>
    </row>
    <row r="1165" spans="1:34" ht="56.25" hidden="1" x14ac:dyDescent="0.3">
      <c r="A1165" s="138" t="s">
        <v>264</v>
      </c>
      <c r="B1165" s="12" t="s">
        <v>285</v>
      </c>
      <c r="C1165" s="12" t="s">
        <v>123</v>
      </c>
      <c r="D1165" s="12" t="s">
        <v>116</v>
      </c>
      <c r="E1165" s="12" t="s">
        <v>377</v>
      </c>
      <c r="F1165" s="12" t="s">
        <v>261</v>
      </c>
      <c r="G1165" s="53">
        <v>0</v>
      </c>
      <c r="H1165" s="111"/>
      <c r="I1165" s="112"/>
      <c r="J1165" s="111"/>
      <c r="K1165" s="76"/>
      <c r="L1165" s="75">
        <v>-733.5</v>
      </c>
      <c r="M1165" s="75"/>
      <c r="AG1165" s="75"/>
      <c r="AH1165" s="75"/>
    </row>
    <row r="1166" spans="1:34" ht="44.25" hidden="1" customHeight="1" x14ac:dyDescent="0.3">
      <c r="A1166" s="138" t="s">
        <v>68</v>
      </c>
      <c r="B1166" s="11">
        <v>936</v>
      </c>
      <c r="C1166" s="12" t="s">
        <v>123</v>
      </c>
      <c r="D1166" s="6" t="s">
        <v>116</v>
      </c>
      <c r="E1166" s="12" t="s">
        <v>69</v>
      </c>
      <c r="F1166" s="12" t="s">
        <v>50</v>
      </c>
      <c r="G1166" s="53">
        <f>G1167</f>
        <v>0</v>
      </c>
      <c r="H1166" s="111"/>
      <c r="I1166" s="112"/>
      <c r="J1166" s="111"/>
      <c r="K1166" s="76"/>
      <c r="L1166" s="75"/>
      <c r="M1166" s="75"/>
      <c r="AG1166" s="75"/>
      <c r="AH1166" s="75"/>
    </row>
    <row r="1167" spans="1:34" ht="99" hidden="1" customHeight="1" x14ac:dyDescent="0.3">
      <c r="A1167" s="138" t="s">
        <v>76</v>
      </c>
      <c r="B1167" s="11">
        <v>936</v>
      </c>
      <c r="C1167" s="12" t="s">
        <v>123</v>
      </c>
      <c r="D1167" s="6" t="s">
        <v>116</v>
      </c>
      <c r="E1167" s="12" t="s">
        <v>41</v>
      </c>
      <c r="F1167" s="12" t="s">
        <v>50</v>
      </c>
      <c r="G1167" s="53">
        <f>G1170</f>
        <v>0</v>
      </c>
      <c r="H1167" s="111"/>
      <c r="I1167" s="112"/>
      <c r="J1167" s="111"/>
      <c r="K1167" s="76"/>
      <c r="L1167" s="75"/>
      <c r="M1167" s="75"/>
      <c r="AG1167" s="75"/>
      <c r="AH1167" s="75"/>
    </row>
    <row r="1168" spans="1:34" ht="24.75" hidden="1" customHeight="1" x14ac:dyDescent="0.3">
      <c r="A1168" s="138" t="s">
        <v>81</v>
      </c>
      <c r="B1168" s="12" t="s">
        <v>285</v>
      </c>
      <c r="C1168" s="12" t="s">
        <v>123</v>
      </c>
      <c r="D1168" s="12" t="s">
        <v>116</v>
      </c>
      <c r="E1168" s="12" t="s">
        <v>149</v>
      </c>
      <c r="F1168" s="12" t="s">
        <v>50</v>
      </c>
      <c r="G1168" s="53">
        <f>G1169</f>
        <v>0</v>
      </c>
      <c r="H1168" s="111"/>
      <c r="I1168" s="112"/>
      <c r="J1168" s="111"/>
      <c r="K1168" s="76"/>
      <c r="L1168" s="75"/>
      <c r="M1168" s="75"/>
      <c r="AG1168" s="75"/>
      <c r="AH1168" s="75"/>
    </row>
    <row r="1169" spans="1:118" ht="44.25" hidden="1" customHeight="1" x14ac:dyDescent="0.3">
      <c r="A1169" s="138" t="s">
        <v>264</v>
      </c>
      <c r="B1169" s="12" t="s">
        <v>285</v>
      </c>
      <c r="C1169" s="12" t="s">
        <v>123</v>
      </c>
      <c r="D1169" s="12" t="s">
        <v>116</v>
      </c>
      <c r="E1169" s="12" t="s">
        <v>149</v>
      </c>
      <c r="F1169" s="12" t="s">
        <v>261</v>
      </c>
      <c r="G1169" s="53">
        <v>0</v>
      </c>
      <c r="H1169" s="111"/>
      <c r="I1169" s="112"/>
      <c r="J1169" s="111"/>
      <c r="K1169" s="76"/>
      <c r="L1169" s="75"/>
      <c r="M1169" s="75"/>
      <c r="AG1169" s="75"/>
      <c r="AH1169" s="75"/>
    </row>
    <row r="1170" spans="1:118" ht="44.25" hidden="1" customHeight="1" x14ac:dyDescent="0.3">
      <c r="A1170" s="138" t="s">
        <v>264</v>
      </c>
      <c r="B1170" s="11">
        <v>936</v>
      </c>
      <c r="C1170" s="12" t="s">
        <v>123</v>
      </c>
      <c r="D1170" s="6" t="s">
        <v>116</v>
      </c>
      <c r="E1170" s="12" t="s">
        <v>41</v>
      </c>
      <c r="F1170" s="12" t="s">
        <v>261</v>
      </c>
      <c r="G1170" s="53">
        <v>0</v>
      </c>
      <c r="H1170" s="111"/>
      <c r="I1170" s="112"/>
      <c r="J1170" s="111"/>
      <c r="K1170" s="76"/>
      <c r="L1170" s="75">
        <v>-26466</v>
      </c>
      <c r="M1170" s="75"/>
      <c r="AG1170" s="75"/>
      <c r="AH1170" s="75"/>
    </row>
    <row r="1171" spans="1:118" ht="56.25" hidden="1" x14ac:dyDescent="0.3">
      <c r="A1171" s="138" t="s">
        <v>477</v>
      </c>
      <c r="B1171" s="11">
        <v>936</v>
      </c>
      <c r="C1171" s="12" t="s">
        <v>123</v>
      </c>
      <c r="D1171" s="6" t="s">
        <v>116</v>
      </c>
      <c r="E1171" s="12" t="s">
        <v>478</v>
      </c>
      <c r="F1171" s="12" t="s">
        <v>50</v>
      </c>
      <c r="G1171" s="53">
        <v>0</v>
      </c>
      <c r="H1171" s="111"/>
      <c r="I1171" s="112"/>
      <c r="J1171" s="111"/>
      <c r="K1171" s="76"/>
      <c r="L1171" s="75">
        <v>-2615.9</v>
      </c>
      <c r="M1171" s="75"/>
      <c r="AG1171" s="75"/>
      <c r="AH1171" s="75"/>
    </row>
    <row r="1172" spans="1:118" ht="59.25" hidden="1" customHeight="1" x14ac:dyDescent="0.3">
      <c r="A1172" s="138" t="s">
        <v>264</v>
      </c>
      <c r="B1172" s="11">
        <v>936</v>
      </c>
      <c r="C1172" s="12" t="s">
        <v>123</v>
      </c>
      <c r="D1172" s="6" t="s">
        <v>116</v>
      </c>
      <c r="E1172" s="12" t="s">
        <v>478</v>
      </c>
      <c r="F1172" s="12" t="s">
        <v>261</v>
      </c>
      <c r="G1172" s="53">
        <v>0</v>
      </c>
      <c r="H1172" s="111"/>
      <c r="I1172" s="112"/>
      <c r="J1172" s="111"/>
      <c r="K1172" s="76"/>
      <c r="L1172" s="75"/>
      <c r="M1172" s="75"/>
      <c r="AG1172" s="75"/>
      <c r="AH1172" s="75"/>
    </row>
    <row r="1173" spans="1:118" ht="69" hidden="1" customHeight="1" x14ac:dyDescent="0.3">
      <c r="A1173" s="138" t="s">
        <v>475</v>
      </c>
      <c r="B1173" s="11">
        <v>936</v>
      </c>
      <c r="C1173" s="12" t="s">
        <v>123</v>
      </c>
      <c r="D1173" s="6" t="s">
        <v>116</v>
      </c>
      <c r="E1173" s="12" t="s">
        <v>476</v>
      </c>
      <c r="F1173" s="12" t="s">
        <v>50</v>
      </c>
      <c r="G1173" s="53">
        <f>G1174</f>
        <v>0</v>
      </c>
      <c r="H1173" s="111"/>
      <c r="I1173" s="112"/>
      <c r="J1173" s="111"/>
      <c r="K1173" s="76"/>
      <c r="L1173" s="75"/>
      <c r="M1173" s="75"/>
      <c r="AG1173" s="75"/>
      <c r="AH1173" s="75"/>
    </row>
    <row r="1174" spans="1:118" ht="63" hidden="1" customHeight="1" x14ac:dyDescent="0.3">
      <c r="A1174" s="138" t="s">
        <v>264</v>
      </c>
      <c r="B1174" s="11">
        <v>936</v>
      </c>
      <c r="C1174" s="12" t="s">
        <v>123</v>
      </c>
      <c r="D1174" s="6" t="s">
        <v>116</v>
      </c>
      <c r="E1174" s="12" t="s">
        <v>476</v>
      </c>
      <c r="F1174" s="12" t="s">
        <v>261</v>
      </c>
      <c r="G1174" s="53">
        <v>0</v>
      </c>
      <c r="H1174" s="111"/>
      <c r="I1174" s="112"/>
      <c r="J1174" s="111"/>
      <c r="K1174" s="76"/>
      <c r="L1174" s="75">
        <v>-3028.6</v>
      </c>
      <c r="M1174" s="75"/>
      <c r="AG1174" s="75"/>
      <c r="AH1174" s="75"/>
    </row>
    <row r="1175" spans="1:118" ht="36" customHeight="1" x14ac:dyDescent="0.3">
      <c r="A1175" s="150" t="s">
        <v>126</v>
      </c>
      <c r="B1175" s="10">
        <v>936</v>
      </c>
      <c r="C1175" s="7" t="s">
        <v>123</v>
      </c>
      <c r="D1175" s="17" t="s">
        <v>117</v>
      </c>
      <c r="E1175" s="7" t="s">
        <v>49</v>
      </c>
      <c r="F1175" s="7" t="s">
        <v>50</v>
      </c>
      <c r="G1175" s="64">
        <f>G1176+G1191+G1203</f>
        <v>23262.500000000004</v>
      </c>
      <c r="H1175" s="111"/>
      <c r="I1175" s="112"/>
      <c r="J1175" s="111"/>
      <c r="K1175" s="76"/>
      <c r="L1175" s="75"/>
      <c r="M1175" s="75"/>
      <c r="AG1175" s="75"/>
      <c r="AH1175" s="75"/>
    </row>
    <row r="1176" spans="1:118" ht="48" customHeight="1" x14ac:dyDescent="0.3">
      <c r="A1176" s="138" t="s">
        <v>38</v>
      </c>
      <c r="B1176" s="11">
        <v>936</v>
      </c>
      <c r="C1176" s="12" t="s">
        <v>123</v>
      </c>
      <c r="D1176" s="6" t="s">
        <v>117</v>
      </c>
      <c r="E1176" s="13" t="s">
        <v>400</v>
      </c>
      <c r="F1176" s="12" t="s">
        <v>50</v>
      </c>
      <c r="G1176" s="53">
        <f>G1177+G1201</f>
        <v>23262.500000000004</v>
      </c>
      <c r="H1176" s="111"/>
      <c r="I1176" s="112"/>
      <c r="J1176" s="111"/>
      <c r="K1176" s="76"/>
      <c r="L1176" s="75"/>
      <c r="M1176" s="75"/>
      <c r="AG1176" s="75"/>
      <c r="AH1176" s="75"/>
    </row>
    <row r="1177" spans="1:118" ht="54.75" customHeight="1" x14ac:dyDescent="0.3">
      <c r="A1177" s="151" t="s">
        <v>138</v>
      </c>
      <c r="B1177" s="11">
        <v>936</v>
      </c>
      <c r="C1177" s="12" t="s">
        <v>123</v>
      </c>
      <c r="D1177" s="6" t="s">
        <v>117</v>
      </c>
      <c r="E1177" s="13" t="s">
        <v>51</v>
      </c>
      <c r="F1177" s="12" t="s">
        <v>50</v>
      </c>
      <c r="G1177" s="53">
        <f>G1178</f>
        <v>23262.500000000004</v>
      </c>
      <c r="H1177" s="111"/>
      <c r="I1177" s="112"/>
      <c r="J1177" s="111"/>
      <c r="K1177" s="76"/>
      <c r="L1177" s="75"/>
      <c r="M1177" s="75"/>
      <c r="AG1177" s="75"/>
      <c r="AH1177" s="75"/>
    </row>
    <row r="1178" spans="1:118" ht="37.5" x14ac:dyDescent="0.3">
      <c r="A1178" s="138" t="s">
        <v>52</v>
      </c>
      <c r="B1178" s="12" t="s">
        <v>285</v>
      </c>
      <c r="C1178" s="12" t="s">
        <v>123</v>
      </c>
      <c r="D1178" s="12" t="s">
        <v>117</v>
      </c>
      <c r="E1178" s="12" t="s">
        <v>53</v>
      </c>
      <c r="F1178" s="12" t="s">
        <v>50</v>
      </c>
      <c r="G1178" s="53">
        <f>G1183+G1187</f>
        <v>23262.500000000004</v>
      </c>
      <c r="H1178" s="111"/>
      <c r="I1178" s="112"/>
      <c r="J1178" s="111"/>
      <c r="K1178" s="76"/>
      <c r="L1178" s="75"/>
      <c r="M1178" s="75"/>
      <c r="AG1178" s="75"/>
      <c r="AH1178" s="75"/>
    </row>
    <row r="1179" spans="1:118" ht="39" hidden="1" customHeight="1" x14ac:dyDescent="0.3">
      <c r="A1179" s="138" t="s">
        <v>74</v>
      </c>
      <c r="B1179" s="12" t="s">
        <v>285</v>
      </c>
      <c r="C1179" s="12" t="s">
        <v>123</v>
      </c>
      <c r="D1179" s="12" t="s">
        <v>117</v>
      </c>
      <c r="E1179" s="12" t="s">
        <v>42</v>
      </c>
      <c r="F1179" s="12" t="s">
        <v>50</v>
      </c>
      <c r="G1179" s="53">
        <f>G1180+G1182</f>
        <v>0</v>
      </c>
      <c r="H1179" s="111"/>
      <c r="I1179" s="112"/>
      <c r="J1179" s="111"/>
      <c r="K1179" s="76"/>
      <c r="L1179" s="75"/>
      <c r="M1179" s="75"/>
      <c r="AG1179" s="75"/>
      <c r="AH1179" s="75"/>
    </row>
    <row r="1180" spans="1:118" ht="56.25" hidden="1" x14ac:dyDescent="0.3">
      <c r="A1180" s="138" t="s">
        <v>264</v>
      </c>
      <c r="B1180" s="12" t="s">
        <v>285</v>
      </c>
      <c r="C1180" s="12" t="s">
        <v>123</v>
      </c>
      <c r="D1180" s="12" t="s">
        <v>117</v>
      </c>
      <c r="E1180" s="12" t="s">
        <v>42</v>
      </c>
      <c r="F1180" s="12" t="s">
        <v>261</v>
      </c>
      <c r="G1180" s="53">
        <v>0</v>
      </c>
      <c r="H1180" s="111"/>
      <c r="I1180" s="112"/>
      <c r="J1180" s="111"/>
      <c r="K1180" s="76"/>
      <c r="L1180" s="75">
        <v>-13459.5</v>
      </c>
      <c r="M1180" s="75"/>
      <c r="AG1180" s="75"/>
      <c r="AH1180" s="75"/>
    </row>
    <row r="1181" spans="1:118" ht="37.5" hidden="1" x14ac:dyDescent="0.3">
      <c r="A1181" s="157" t="s">
        <v>374</v>
      </c>
      <c r="B1181" s="12" t="s">
        <v>285</v>
      </c>
      <c r="C1181" s="12" t="s">
        <v>123</v>
      </c>
      <c r="D1181" s="12" t="s">
        <v>117</v>
      </c>
      <c r="E1181" s="12" t="s">
        <v>506</v>
      </c>
      <c r="F1181" s="12" t="s">
        <v>50</v>
      </c>
      <c r="G1181" s="53">
        <f>G1182</f>
        <v>0</v>
      </c>
      <c r="H1181" s="111"/>
      <c r="I1181" s="112"/>
      <c r="J1181" s="111"/>
      <c r="K1181" s="76"/>
      <c r="L1181" s="75"/>
      <c r="M1181" s="75"/>
      <c r="AG1181" s="75"/>
      <c r="AH1181" s="75"/>
    </row>
    <row r="1182" spans="1:118" ht="46.5" hidden="1" customHeight="1" x14ac:dyDescent="0.3">
      <c r="A1182" s="138" t="s">
        <v>264</v>
      </c>
      <c r="B1182" s="12" t="s">
        <v>285</v>
      </c>
      <c r="C1182" s="12" t="s">
        <v>123</v>
      </c>
      <c r="D1182" s="12" t="s">
        <v>117</v>
      </c>
      <c r="E1182" s="12" t="s">
        <v>506</v>
      </c>
      <c r="F1182" s="12" t="s">
        <v>261</v>
      </c>
      <c r="G1182" s="53">
        <v>0</v>
      </c>
      <c r="H1182" s="111"/>
      <c r="I1182" s="112"/>
      <c r="J1182" s="111"/>
      <c r="K1182" s="76"/>
      <c r="L1182" s="75">
        <v>-60</v>
      </c>
      <c r="M1182" s="75"/>
      <c r="AG1182" s="75"/>
      <c r="AH1182" s="75"/>
    </row>
    <row r="1183" spans="1:118" ht="33" customHeight="1" x14ac:dyDescent="0.3">
      <c r="A1183" s="138" t="s">
        <v>558</v>
      </c>
      <c r="B1183" s="12" t="s">
        <v>285</v>
      </c>
      <c r="C1183" s="12" t="s">
        <v>123</v>
      </c>
      <c r="D1183" s="12" t="s">
        <v>117</v>
      </c>
      <c r="E1183" s="12" t="s">
        <v>560</v>
      </c>
      <c r="F1183" s="12" t="s">
        <v>50</v>
      </c>
      <c r="G1183" s="53">
        <f>G1184+G1185</f>
        <v>7483.0000000000009</v>
      </c>
      <c r="H1183" s="111"/>
      <c r="I1183" s="112"/>
      <c r="J1183" s="111"/>
      <c r="K1183" s="76"/>
      <c r="L1183" s="75"/>
      <c r="M1183" s="75"/>
      <c r="AG1183" s="75"/>
      <c r="AH1183" s="75"/>
    </row>
    <row r="1184" spans="1:118" ht="46.5" customHeight="1" x14ac:dyDescent="0.3">
      <c r="A1184" s="138" t="s">
        <v>264</v>
      </c>
      <c r="B1184" s="12" t="s">
        <v>285</v>
      </c>
      <c r="C1184" s="12" t="s">
        <v>123</v>
      </c>
      <c r="D1184" s="12" t="s">
        <v>117</v>
      </c>
      <c r="E1184" s="12" t="s">
        <v>560</v>
      </c>
      <c r="F1184" s="12" t="s">
        <v>261</v>
      </c>
      <c r="G1184" s="53">
        <f>CS1184+CV1184+DN1184</f>
        <v>6980.7000000000007</v>
      </c>
      <c r="H1184" s="111">
        <f>5327.8+418.1</f>
        <v>5745.9000000000005</v>
      </c>
      <c r="I1184" s="112"/>
      <c r="J1184" s="111"/>
      <c r="K1184" s="76"/>
      <c r="L1184" s="75">
        <v>4198</v>
      </c>
      <c r="M1184" s="75"/>
      <c r="AE1184">
        <v>13.7</v>
      </c>
      <c r="AG1184" s="75">
        <v>469.1</v>
      </c>
      <c r="AH1184" s="75"/>
      <c r="AK1184" s="75">
        <v>5133.1000000000004</v>
      </c>
      <c r="BL1184" s="187">
        <v>-13.3</v>
      </c>
      <c r="BM1184" s="95">
        <v>6128.4</v>
      </c>
      <c r="CS1184" s="255">
        <f>6444.7+142.8+308.1</f>
        <v>6895.6</v>
      </c>
      <c r="CV1184" s="259">
        <v>47.6</v>
      </c>
      <c r="DN1184" s="260">
        <v>37.5</v>
      </c>
    </row>
    <row r="1185" spans="1:118" ht="46.5" customHeight="1" x14ac:dyDescent="0.3">
      <c r="A1185" s="157" t="s">
        <v>374</v>
      </c>
      <c r="B1185" s="12" t="s">
        <v>285</v>
      </c>
      <c r="C1185" s="12" t="s">
        <v>123</v>
      </c>
      <c r="D1185" s="12" t="s">
        <v>117</v>
      </c>
      <c r="E1185" s="12" t="s">
        <v>713</v>
      </c>
      <c r="F1185" s="12" t="s">
        <v>50</v>
      </c>
      <c r="G1185" s="53">
        <f>G1186</f>
        <v>502.3</v>
      </c>
      <c r="H1185" s="111"/>
      <c r="I1185" s="112"/>
      <c r="J1185" s="111"/>
      <c r="K1185" s="76"/>
      <c r="L1185" s="75"/>
      <c r="M1185" s="75"/>
      <c r="AG1185" s="75"/>
      <c r="AH1185" s="75"/>
    </row>
    <row r="1186" spans="1:118" ht="46.5" customHeight="1" x14ac:dyDescent="0.3">
      <c r="A1186" s="138" t="s">
        <v>264</v>
      </c>
      <c r="B1186" s="12" t="s">
        <v>285</v>
      </c>
      <c r="C1186" s="12" t="s">
        <v>123</v>
      </c>
      <c r="D1186" s="12" t="s">
        <v>117</v>
      </c>
      <c r="E1186" s="12" t="s">
        <v>713</v>
      </c>
      <c r="F1186" s="12" t="s">
        <v>261</v>
      </c>
      <c r="G1186" s="53">
        <f>CW1186</f>
        <v>502.3</v>
      </c>
      <c r="H1186" s="111"/>
      <c r="I1186" s="112"/>
      <c r="J1186" s="111"/>
      <c r="K1186" s="76"/>
      <c r="L1186" s="75"/>
      <c r="M1186" s="75"/>
      <c r="AG1186" s="75"/>
      <c r="AH1186" s="75"/>
      <c r="AP1186" s="146">
        <v>378.8</v>
      </c>
      <c r="BK1186" s="218">
        <v>26.5</v>
      </c>
      <c r="BY1186" s="146">
        <v>312.2</v>
      </c>
      <c r="CI1186" s="187">
        <v>135.5</v>
      </c>
      <c r="CP1186" s="251">
        <v>297.89999999999998</v>
      </c>
      <c r="CW1186" s="259">
        <v>502.3</v>
      </c>
    </row>
    <row r="1187" spans="1:118" ht="27.75" customHeight="1" x14ac:dyDescent="0.3">
      <c r="A1187" s="138" t="s">
        <v>559</v>
      </c>
      <c r="B1187" s="12" t="s">
        <v>285</v>
      </c>
      <c r="C1187" s="12" t="s">
        <v>123</v>
      </c>
      <c r="D1187" s="12" t="s">
        <v>117</v>
      </c>
      <c r="E1187" s="12" t="s">
        <v>561</v>
      </c>
      <c r="F1187" s="12" t="s">
        <v>50</v>
      </c>
      <c r="G1187" s="53">
        <f>G1188+G1190</f>
        <v>15779.500000000002</v>
      </c>
      <c r="H1187" s="111"/>
      <c r="I1187" s="112"/>
      <c r="J1187" s="111"/>
      <c r="K1187" s="76"/>
      <c r="L1187" s="75"/>
      <c r="M1187" s="75"/>
      <c r="AG1187" s="75"/>
      <c r="AH1187" s="75"/>
    </row>
    <row r="1188" spans="1:118" ht="46.5" customHeight="1" x14ac:dyDescent="0.3">
      <c r="A1188" s="138" t="s">
        <v>264</v>
      </c>
      <c r="B1188" s="12" t="s">
        <v>285</v>
      </c>
      <c r="C1188" s="12" t="s">
        <v>123</v>
      </c>
      <c r="D1188" s="12" t="s">
        <v>117</v>
      </c>
      <c r="E1188" s="12" t="s">
        <v>561</v>
      </c>
      <c r="F1188" s="12" t="s">
        <v>261</v>
      </c>
      <c r="G1188" s="53">
        <f>CS1188+DN1188</f>
        <v>14476.900000000001</v>
      </c>
      <c r="H1188" s="111">
        <f>9525.1+1701.4+46.4</f>
        <v>11272.9</v>
      </c>
      <c r="I1188" s="112"/>
      <c r="J1188" s="111"/>
      <c r="K1188" s="76"/>
      <c r="L1188" s="75">
        <v>9261.5</v>
      </c>
      <c r="M1188" s="75">
        <v>-52</v>
      </c>
      <c r="AG1188" s="75"/>
      <c r="AH1188" s="75"/>
      <c r="AK1188" s="75">
        <v>9376.2999999999993</v>
      </c>
      <c r="BL1188" s="187">
        <v>-57</v>
      </c>
      <c r="BM1188" s="95">
        <v>11559.9</v>
      </c>
      <c r="CG1188" s="187">
        <v>92</v>
      </c>
      <c r="CS1188" s="255">
        <f>150+43.5+11876.1+1932.1</f>
        <v>14001.7</v>
      </c>
      <c r="DN1188" s="260">
        <v>475.2</v>
      </c>
    </row>
    <row r="1189" spans="1:118" ht="46.5" customHeight="1" x14ac:dyDescent="0.3">
      <c r="A1189" s="157" t="s">
        <v>374</v>
      </c>
      <c r="B1189" s="12" t="s">
        <v>285</v>
      </c>
      <c r="C1189" s="12" t="s">
        <v>123</v>
      </c>
      <c r="D1189" s="12" t="s">
        <v>117</v>
      </c>
      <c r="E1189" s="12" t="s">
        <v>562</v>
      </c>
      <c r="F1189" s="12" t="s">
        <v>50</v>
      </c>
      <c r="G1189" s="53">
        <f>G1190</f>
        <v>1302.5999999999999</v>
      </c>
      <c r="H1189" s="111"/>
      <c r="I1189" s="112"/>
      <c r="J1189" s="111"/>
      <c r="K1189" s="76"/>
      <c r="L1189" s="75"/>
      <c r="M1189" s="75"/>
      <c r="AG1189" s="75"/>
      <c r="AH1189" s="75"/>
    </row>
    <row r="1190" spans="1:118" ht="39" customHeight="1" x14ac:dyDescent="0.3">
      <c r="A1190" s="138" t="s">
        <v>264</v>
      </c>
      <c r="B1190" s="12" t="s">
        <v>285</v>
      </c>
      <c r="C1190" s="12" t="s">
        <v>123</v>
      </c>
      <c r="D1190" s="12" t="s">
        <v>117</v>
      </c>
      <c r="E1190" s="12" t="s">
        <v>562</v>
      </c>
      <c r="F1190" s="12" t="s">
        <v>261</v>
      </c>
      <c r="G1190" s="53">
        <f>CW1190+DI1190</f>
        <v>1302.5999999999999</v>
      </c>
      <c r="H1190" s="111"/>
      <c r="I1190" s="112"/>
      <c r="J1190" s="111"/>
      <c r="K1190" s="76"/>
      <c r="L1190" s="75">
        <v>60</v>
      </c>
      <c r="M1190" s="75"/>
      <c r="AF1190">
        <v>-19.446000000000002</v>
      </c>
      <c r="AG1190" s="75"/>
      <c r="AH1190" s="75"/>
      <c r="AK1190" s="75">
        <v>0</v>
      </c>
      <c r="AP1190" s="146">
        <v>885.7</v>
      </c>
      <c r="BK1190" s="218">
        <v>294</v>
      </c>
      <c r="BY1190" s="146">
        <v>615.9</v>
      </c>
      <c r="CI1190" s="187">
        <v>269.3</v>
      </c>
      <c r="CO1190" s="251">
        <v>1413.7</v>
      </c>
      <c r="CW1190" s="259">
        <v>1059.5999999999999</v>
      </c>
      <c r="DI1190" s="260">
        <v>243</v>
      </c>
    </row>
    <row r="1191" spans="1:118" ht="45.75" hidden="1" customHeight="1" x14ac:dyDescent="0.3">
      <c r="A1191" s="151" t="s">
        <v>158</v>
      </c>
      <c r="B1191" s="12" t="s">
        <v>285</v>
      </c>
      <c r="C1191" s="12" t="s">
        <v>123</v>
      </c>
      <c r="D1191" s="12" t="s">
        <v>117</v>
      </c>
      <c r="E1191" s="12" t="s">
        <v>85</v>
      </c>
      <c r="F1191" s="12" t="s">
        <v>50</v>
      </c>
      <c r="G1191" s="53">
        <f>G1192</f>
        <v>0</v>
      </c>
      <c r="H1191" s="111"/>
      <c r="I1191" s="112"/>
      <c r="J1191" s="111"/>
      <c r="K1191" s="76"/>
      <c r="L1191" s="75"/>
      <c r="M1191" s="75"/>
      <c r="AG1191" s="75"/>
      <c r="AH1191" s="75"/>
    </row>
    <row r="1192" spans="1:118" ht="27" hidden="1" customHeight="1" x14ac:dyDescent="0.3">
      <c r="A1192" s="138" t="s">
        <v>409</v>
      </c>
      <c r="B1192" s="12" t="s">
        <v>285</v>
      </c>
      <c r="C1192" s="12" t="s">
        <v>123</v>
      </c>
      <c r="D1192" s="12" t="s">
        <v>117</v>
      </c>
      <c r="E1192" s="12" t="s">
        <v>90</v>
      </c>
      <c r="F1192" s="12" t="s">
        <v>50</v>
      </c>
      <c r="G1192" s="53">
        <f>G1193+G1196</f>
        <v>0</v>
      </c>
      <c r="H1192" s="111"/>
      <c r="I1192" s="112"/>
      <c r="J1192" s="111"/>
      <c r="K1192" s="76"/>
      <c r="L1192" s="75"/>
      <c r="M1192" s="75"/>
      <c r="AG1192" s="75"/>
      <c r="AH1192" s="75"/>
    </row>
    <row r="1193" spans="1:118" ht="27" hidden="1" customHeight="1" x14ac:dyDescent="0.3">
      <c r="A1193" s="210" t="s">
        <v>556</v>
      </c>
      <c r="B1193" s="12" t="s">
        <v>285</v>
      </c>
      <c r="C1193" s="12" t="s">
        <v>123</v>
      </c>
      <c r="D1193" s="12" t="s">
        <v>117</v>
      </c>
      <c r="E1193" s="12" t="s">
        <v>557</v>
      </c>
      <c r="F1193" s="12" t="s">
        <v>50</v>
      </c>
      <c r="G1193" s="53">
        <f>G1194</f>
        <v>0</v>
      </c>
      <c r="H1193" s="111"/>
      <c r="I1193" s="112"/>
      <c r="J1193" s="111"/>
      <c r="K1193" s="76"/>
      <c r="L1193" s="75"/>
      <c r="M1193" s="75"/>
      <c r="AG1193" s="75"/>
      <c r="AH1193" s="75"/>
    </row>
    <row r="1194" spans="1:118" ht="30.75" hidden="1" customHeight="1" x14ac:dyDescent="0.3">
      <c r="A1194" s="167" t="s">
        <v>555</v>
      </c>
      <c r="B1194" s="12" t="s">
        <v>285</v>
      </c>
      <c r="C1194" s="12" t="s">
        <v>123</v>
      </c>
      <c r="D1194" s="12" t="s">
        <v>117</v>
      </c>
      <c r="E1194" s="12" t="s">
        <v>632</v>
      </c>
      <c r="F1194" s="12" t="s">
        <v>50</v>
      </c>
      <c r="G1194" s="53">
        <f>G1195</f>
        <v>0</v>
      </c>
      <c r="H1194" s="111"/>
      <c r="I1194" s="112"/>
      <c r="J1194" s="111"/>
      <c r="K1194" s="76">
        <v>766</v>
      </c>
      <c r="L1194" s="75"/>
      <c r="M1194" s="75">
        <v>7.74</v>
      </c>
      <c r="AG1194" s="75"/>
      <c r="AH1194" s="75"/>
    </row>
    <row r="1195" spans="1:118" ht="46.5" hidden="1" customHeight="1" x14ac:dyDescent="0.3">
      <c r="A1195" s="138" t="s">
        <v>264</v>
      </c>
      <c r="B1195" s="12" t="s">
        <v>285</v>
      </c>
      <c r="C1195" s="12" t="s">
        <v>123</v>
      </c>
      <c r="D1195" s="12" t="s">
        <v>117</v>
      </c>
      <c r="E1195" s="12" t="s">
        <v>632</v>
      </c>
      <c r="F1195" s="12" t="s">
        <v>261</v>
      </c>
      <c r="G1195" s="53">
        <v>0</v>
      </c>
      <c r="H1195" s="111"/>
      <c r="I1195" s="112"/>
      <c r="J1195" s="111"/>
      <c r="K1195" s="76"/>
      <c r="L1195" s="75"/>
      <c r="M1195" s="75"/>
      <c r="AC1195">
        <v>7.3600000000000002E-3</v>
      </c>
      <c r="AG1195" s="75"/>
      <c r="AH1195" s="75"/>
      <c r="AK1195" s="75">
        <v>0</v>
      </c>
    </row>
    <row r="1196" spans="1:118" ht="30.75" hidden="1" customHeight="1" x14ac:dyDescent="0.3">
      <c r="A1196" s="138" t="s">
        <v>62</v>
      </c>
      <c r="B1196" s="12" t="s">
        <v>285</v>
      </c>
      <c r="C1196" s="12" t="s">
        <v>123</v>
      </c>
      <c r="D1196" s="12" t="s">
        <v>117</v>
      </c>
      <c r="E1196" s="12" t="s">
        <v>310</v>
      </c>
      <c r="F1196" s="12" t="s">
        <v>50</v>
      </c>
      <c r="G1196" s="53">
        <f>G1197</f>
        <v>0</v>
      </c>
      <c r="H1196" s="111"/>
      <c r="I1196" s="112"/>
      <c r="J1196" s="111"/>
      <c r="K1196" s="76"/>
      <c r="L1196" s="75"/>
      <c r="M1196" s="75"/>
      <c r="AG1196" s="75"/>
      <c r="AH1196" s="75"/>
    </row>
    <row r="1197" spans="1:118" ht="24" hidden="1" customHeight="1" x14ac:dyDescent="0.3">
      <c r="A1197" s="167" t="s">
        <v>555</v>
      </c>
      <c r="B1197" s="12" t="s">
        <v>285</v>
      </c>
      <c r="C1197" s="12" t="s">
        <v>123</v>
      </c>
      <c r="D1197" s="12" t="s">
        <v>117</v>
      </c>
      <c r="E1197" s="12" t="s">
        <v>554</v>
      </c>
      <c r="F1197" s="12" t="s">
        <v>50</v>
      </c>
      <c r="G1197" s="53">
        <f>G1198</f>
        <v>0</v>
      </c>
      <c r="H1197" s="111"/>
      <c r="I1197" s="112"/>
      <c r="J1197" s="111"/>
      <c r="K1197" s="76"/>
      <c r="L1197" s="75"/>
      <c r="M1197" s="75">
        <v>266.86</v>
      </c>
      <c r="AG1197" s="75"/>
      <c r="AH1197" s="75"/>
    </row>
    <row r="1198" spans="1:118" ht="47.25" hidden="1" customHeight="1" x14ac:dyDescent="0.3">
      <c r="A1198" s="138" t="s">
        <v>264</v>
      </c>
      <c r="B1198" s="12" t="s">
        <v>285</v>
      </c>
      <c r="C1198" s="12" t="s">
        <v>123</v>
      </c>
      <c r="D1198" s="12" t="s">
        <v>117</v>
      </c>
      <c r="E1198" s="12" t="s">
        <v>554</v>
      </c>
      <c r="F1198" s="12" t="s">
        <v>261</v>
      </c>
      <c r="G1198" s="53">
        <v>0</v>
      </c>
      <c r="H1198" s="111"/>
      <c r="I1198" s="112"/>
      <c r="J1198" s="111"/>
      <c r="K1198" s="76"/>
      <c r="L1198" s="75"/>
      <c r="M1198" s="75"/>
      <c r="N1198">
        <v>100</v>
      </c>
      <c r="T1198">
        <v>-41.667360000000002</v>
      </c>
      <c r="AG1198" s="75"/>
      <c r="AH1198" s="75"/>
      <c r="AK1198" s="75">
        <v>0</v>
      </c>
    </row>
    <row r="1199" spans="1:118" ht="47.25" hidden="1" customHeight="1" x14ac:dyDescent="0.3">
      <c r="A1199" s="236" t="s">
        <v>697</v>
      </c>
      <c r="B1199" s="12" t="s">
        <v>285</v>
      </c>
      <c r="C1199" s="12" t="s">
        <v>123</v>
      </c>
      <c r="D1199" s="12" t="s">
        <v>117</v>
      </c>
      <c r="E1199" s="12" t="s">
        <v>890</v>
      </c>
      <c r="F1199" s="12" t="s">
        <v>50</v>
      </c>
      <c r="G1199" s="53">
        <f>G1200</f>
        <v>0</v>
      </c>
      <c r="H1199" s="111"/>
      <c r="I1199" s="112"/>
      <c r="J1199" s="111"/>
      <c r="K1199" s="76"/>
      <c r="L1199" s="75"/>
      <c r="M1199" s="75"/>
      <c r="AG1199" s="75"/>
      <c r="AH1199" s="75"/>
    </row>
    <row r="1200" spans="1:118" ht="32.25" hidden="1" customHeight="1" x14ac:dyDescent="0.3">
      <c r="A1200" s="236" t="s">
        <v>556</v>
      </c>
      <c r="B1200" s="12" t="s">
        <v>285</v>
      </c>
      <c r="C1200" s="12" t="s">
        <v>123</v>
      </c>
      <c r="D1200" s="12" t="s">
        <v>117</v>
      </c>
      <c r="E1200" s="12" t="s">
        <v>891</v>
      </c>
      <c r="F1200" s="12" t="s">
        <v>50</v>
      </c>
      <c r="G1200" s="53">
        <f>G1201</f>
        <v>0</v>
      </c>
      <c r="H1200" s="111"/>
      <c r="I1200" s="112"/>
      <c r="J1200" s="111"/>
      <c r="K1200" s="76"/>
      <c r="L1200" s="75"/>
      <c r="M1200" s="75"/>
      <c r="AG1200" s="75"/>
      <c r="AH1200" s="75"/>
    </row>
    <row r="1201" spans="1:68" ht="37.5" hidden="1" customHeight="1" x14ac:dyDescent="0.3">
      <c r="A1201" s="138" t="s">
        <v>387</v>
      </c>
      <c r="B1201" s="12" t="s">
        <v>285</v>
      </c>
      <c r="C1201" s="12" t="s">
        <v>123</v>
      </c>
      <c r="D1201" s="12" t="s">
        <v>117</v>
      </c>
      <c r="E1201" s="12" t="s">
        <v>892</v>
      </c>
      <c r="F1201" s="12" t="s">
        <v>50</v>
      </c>
      <c r="G1201" s="53">
        <f>G1202</f>
        <v>0</v>
      </c>
      <c r="H1201" s="111"/>
      <c r="I1201" s="112"/>
      <c r="J1201" s="111"/>
      <c r="K1201" s="76"/>
      <c r="L1201" s="75"/>
      <c r="M1201" s="75"/>
      <c r="AG1201" s="75"/>
      <c r="AH1201" s="75"/>
    </row>
    <row r="1202" spans="1:68" ht="47.25" hidden="1" customHeight="1" x14ac:dyDescent="0.3">
      <c r="A1202" s="138" t="s">
        <v>264</v>
      </c>
      <c r="B1202" s="12" t="s">
        <v>285</v>
      </c>
      <c r="C1202" s="12" t="s">
        <v>123</v>
      </c>
      <c r="D1202" s="12" t="s">
        <v>117</v>
      </c>
      <c r="E1202" s="12" t="s">
        <v>892</v>
      </c>
      <c r="F1202" s="12" t="s">
        <v>261</v>
      </c>
      <c r="G1202" s="53">
        <v>0</v>
      </c>
      <c r="H1202" s="111"/>
      <c r="I1202" s="112"/>
      <c r="J1202" s="111"/>
      <c r="K1202" s="76"/>
      <c r="L1202" s="75"/>
      <c r="M1202" s="75"/>
      <c r="AG1202" s="75"/>
      <c r="AH1202" s="75"/>
      <c r="BO1202" s="230">
        <v>4011.55</v>
      </c>
      <c r="BP1202" s="231">
        <v>40.5</v>
      </c>
    </row>
    <row r="1203" spans="1:68" ht="66" hidden="1" customHeight="1" x14ac:dyDescent="0.3">
      <c r="A1203" s="151" t="s">
        <v>11</v>
      </c>
      <c r="B1203" s="11">
        <v>936</v>
      </c>
      <c r="C1203" s="12" t="s">
        <v>123</v>
      </c>
      <c r="D1203" s="12" t="s">
        <v>117</v>
      </c>
      <c r="E1203" s="13" t="s">
        <v>29</v>
      </c>
      <c r="F1203" s="12" t="s">
        <v>50</v>
      </c>
      <c r="G1203" s="53">
        <f>G1204+G1207+G1209</f>
        <v>0</v>
      </c>
      <c r="H1203" s="111"/>
      <c r="I1203" s="112"/>
      <c r="J1203" s="111"/>
      <c r="K1203" s="76"/>
      <c r="L1203" s="75"/>
      <c r="M1203" s="75"/>
      <c r="AG1203" s="75"/>
      <c r="AH1203" s="75"/>
    </row>
    <row r="1204" spans="1:68" ht="86.25" hidden="1" customHeight="1" x14ac:dyDescent="0.3">
      <c r="A1204" s="138" t="s">
        <v>249</v>
      </c>
      <c r="B1204" s="11">
        <v>936</v>
      </c>
      <c r="C1204" s="12" t="s">
        <v>123</v>
      </c>
      <c r="D1204" s="12" t="s">
        <v>117</v>
      </c>
      <c r="E1204" s="12" t="s">
        <v>824</v>
      </c>
      <c r="F1204" s="12" t="s">
        <v>50</v>
      </c>
      <c r="G1204" s="68">
        <f>G1205</f>
        <v>0</v>
      </c>
      <c r="H1204" s="111"/>
      <c r="I1204" s="112"/>
      <c r="J1204" s="111"/>
      <c r="K1204" s="76"/>
      <c r="L1204" s="75"/>
      <c r="M1204" s="75"/>
      <c r="AG1204" s="75"/>
      <c r="AH1204" s="75"/>
    </row>
    <row r="1205" spans="1:68" ht="148.5" hidden="1" customHeight="1" x14ac:dyDescent="0.3">
      <c r="A1205" s="138" t="s">
        <v>838</v>
      </c>
      <c r="B1205" s="11">
        <v>936</v>
      </c>
      <c r="C1205" s="12" t="s">
        <v>123</v>
      </c>
      <c r="D1205" s="12" t="s">
        <v>117</v>
      </c>
      <c r="E1205" s="12" t="s">
        <v>835</v>
      </c>
      <c r="F1205" s="12" t="s">
        <v>50</v>
      </c>
      <c r="G1205" s="68">
        <f>G1206</f>
        <v>0</v>
      </c>
      <c r="H1205" s="111"/>
      <c r="I1205" s="112"/>
      <c r="J1205" s="111"/>
      <c r="K1205" s="76"/>
      <c r="L1205" s="75"/>
      <c r="M1205" s="75"/>
      <c r="AG1205" s="75"/>
      <c r="AH1205" s="75"/>
    </row>
    <row r="1206" spans="1:68" ht="47.25" hidden="1" customHeight="1" x14ac:dyDescent="0.3">
      <c r="A1206" s="138" t="s">
        <v>264</v>
      </c>
      <c r="B1206" s="11">
        <v>936</v>
      </c>
      <c r="C1206" s="12" t="s">
        <v>123</v>
      </c>
      <c r="D1206" s="12" t="s">
        <v>117</v>
      </c>
      <c r="E1206" s="12" t="s">
        <v>835</v>
      </c>
      <c r="F1206" s="12" t="s">
        <v>261</v>
      </c>
      <c r="G1206" s="68">
        <v>0</v>
      </c>
      <c r="H1206" s="111"/>
      <c r="I1206" s="112"/>
      <c r="J1206" s="111"/>
      <c r="K1206" s="76"/>
      <c r="L1206" s="75"/>
      <c r="M1206" s="75"/>
      <c r="AG1206" s="75"/>
      <c r="AH1206" s="75"/>
    </row>
    <row r="1207" spans="1:68" ht="158.25" hidden="1" customHeight="1" x14ac:dyDescent="0.3">
      <c r="A1207" s="138" t="s">
        <v>838</v>
      </c>
      <c r="B1207" s="11">
        <v>936</v>
      </c>
      <c r="C1207" s="12" t="s">
        <v>123</v>
      </c>
      <c r="D1207" s="12" t="s">
        <v>117</v>
      </c>
      <c r="E1207" s="12" t="s">
        <v>836</v>
      </c>
      <c r="F1207" s="12" t="s">
        <v>50</v>
      </c>
      <c r="G1207" s="53">
        <f>G1208</f>
        <v>0</v>
      </c>
      <c r="H1207" s="111"/>
      <c r="I1207" s="112"/>
      <c r="J1207" s="111"/>
      <c r="K1207" s="76"/>
      <c r="L1207" s="75"/>
      <c r="M1207" s="75"/>
      <c r="AG1207" s="75"/>
      <c r="AH1207" s="75"/>
    </row>
    <row r="1208" spans="1:68" ht="47.25" hidden="1" customHeight="1" x14ac:dyDescent="0.3">
      <c r="A1208" s="138" t="s">
        <v>264</v>
      </c>
      <c r="B1208" s="11">
        <v>936</v>
      </c>
      <c r="C1208" s="12" t="s">
        <v>123</v>
      </c>
      <c r="D1208" s="12" t="s">
        <v>117</v>
      </c>
      <c r="E1208" s="12" t="s">
        <v>836</v>
      </c>
      <c r="F1208" s="12" t="s">
        <v>261</v>
      </c>
      <c r="G1208" s="53">
        <v>0</v>
      </c>
      <c r="H1208" s="111"/>
      <c r="I1208" s="112"/>
      <c r="J1208" s="111"/>
      <c r="K1208" s="76"/>
      <c r="L1208" s="75"/>
      <c r="M1208" s="75"/>
      <c r="AG1208" s="75"/>
      <c r="AH1208" s="75"/>
    </row>
    <row r="1209" spans="1:68" ht="123.75" hidden="1" customHeight="1" x14ac:dyDescent="0.3">
      <c r="A1209" s="138" t="s">
        <v>839</v>
      </c>
      <c r="B1209" s="11">
        <v>936</v>
      </c>
      <c r="C1209" s="12" t="s">
        <v>123</v>
      </c>
      <c r="D1209" s="12" t="s">
        <v>117</v>
      </c>
      <c r="E1209" s="42" t="s">
        <v>837</v>
      </c>
      <c r="F1209" s="12" t="s">
        <v>50</v>
      </c>
      <c r="G1209" s="53">
        <f>G1210</f>
        <v>0</v>
      </c>
      <c r="H1209" s="111"/>
      <c r="I1209" s="112"/>
      <c r="J1209" s="111"/>
      <c r="K1209" s="76"/>
      <c r="L1209" s="75"/>
      <c r="M1209" s="75"/>
      <c r="AG1209" s="75"/>
      <c r="AH1209" s="75"/>
    </row>
    <row r="1210" spans="1:68" ht="47.25" hidden="1" customHeight="1" x14ac:dyDescent="0.3">
      <c r="A1210" s="138" t="s">
        <v>264</v>
      </c>
      <c r="B1210" s="11">
        <v>936</v>
      </c>
      <c r="C1210" s="12" t="s">
        <v>123</v>
      </c>
      <c r="D1210" s="12" t="s">
        <v>117</v>
      </c>
      <c r="E1210" s="42" t="s">
        <v>837</v>
      </c>
      <c r="F1210" s="12" t="s">
        <v>261</v>
      </c>
      <c r="G1210" s="53">
        <v>0</v>
      </c>
      <c r="H1210" s="111"/>
      <c r="I1210" s="112"/>
      <c r="J1210" s="111"/>
      <c r="K1210" s="76"/>
      <c r="L1210" s="75"/>
      <c r="M1210" s="75"/>
      <c r="AG1210" s="75"/>
      <c r="AH1210" s="75"/>
    </row>
    <row r="1211" spans="1:68" ht="47.25" customHeight="1" x14ac:dyDescent="0.3">
      <c r="A1211" s="211" t="s">
        <v>344</v>
      </c>
      <c r="B1211" s="39" t="s">
        <v>285</v>
      </c>
      <c r="C1211" s="39" t="s">
        <v>123</v>
      </c>
      <c r="D1211" s="90" t="s">
        <v>209</v>
      </c>
      <c r="E1211" s="70" t="s">
        <v>49</v>
      </c>
      <c r="F1211" s="39" t="s">
        <v>50</v>
      </c>
      <c r="G1211" s="64">
        <f>G1222</f>
        <v>139.09</v>
      </c>
      <c r="H1211" s="111"/>
      <c r="I1211" s="112"/>
      <c r="J1211" s="111"/>
      <c r="K1211" s="76"/>
      <c r="L1211" s="75"/>
      <c r="M1211" s="75"/>
      <c r="AG1211" s="75"/>
      <c r="AH1211" s="75"/>
    </row>
    <row r="1212" spans="1:68" ht="47.25" hidden="1" customHeight="1" x14ac:dyDescent="0.3">
      <c r="A1212" s="138" t="s">
        <v>38</v>
      </c>
      <c r="B1212" s="42" t="s">
        <v>285</v>
      </c>
      <c r="C1212" s="42" t="s">
        <v>123</v>
      </c>
      <c r="D1212" s="87" t="s">
        <v>209</v>
      </c>
      <c r="E1212" s="13" t="s">
        <v>25</v>
      </c>
      <c r="F1212" s="12" t="s">
        <v>50</v>
      </c>
      <c r="G1212" s="53">
        <f>G1213</f>
        <v>0</v>
      </c>
      <c r="H1212" s="111"/>
      <c r="I1212" s="112"/>
      <c r="J1212" s="111"/>
      <c r="K1212" s="76"/>
      <c r="L1212" s="75"/>
      <c r="M1212" s="75"/>
      <c r="AG1212" s="75"/>
      <c r="AH1212" s="75"/>
    </row>
    <row r="1213" spans="1:68" ht="47.25" hidden="1" customHeight="1" x14ac:dyDescent="0.3">
      <c r="A1213" s="151" t="s">
        <v>161</v>
      </c>
      <c r="B1213" s="12" t="s">
        <v>285</v>
      </c>
      <c r="C1213" s="12" t="s">
        <v>123</v>
      </c>
      <c r="D1213" s="12" t="s">
        <v>117</v>
      </c>
      <c r="E1213" s="13" t="s">
        <v>99</v>
      </c>
      <c r="F1213" s="12" t="s">
        <v>50</v>
      </c>
      <c r="G1213" s="53">
        <f>G1214</f>
        <v>0</v>
      </c>
      <c r="H1213" s="111"/>
      <c r="I1213" s="112"/>
      <c r="J1213" s="111"/>
      <c r="K1213" s="76"/>
      <c r="L1213" s="75"/>
      <c r="M1213" s="75"/>
      <c r="AG1213" s="75"/>
      <c r="AH1213" s="75"/>
    </row>
    <row r="1214" spans="1:68" ht="43.5" hidden="1" customHeight="1" x14ac:dyDescent="0.3">
      <c r="A1214" s="151" t="s">
        <v>11</v>
      </c>
      <c r="B1214" s="12" t="s">
        <v>285</v>
      </c>
      <c r="C1214" s="12" t="s">
        <v>123</v>
      </c>
      <c r="D1214" s="12" t="s">
        <v>117</v>
      </c>
      <c r="E1214" s="13" t="s">
        <v>29</v>
      </c>
      <c r="F1214" s="12" t="s">
        <v>50</v>
      </c>
      <c r="G1214" s="53">
        <f>G1215</f>
        <v>0</v>
      </c>
      <c r="H1214" s="111"/>
      <c r="I1214" s="112"/>
      <c r="J1214" s="111"/>
      <c r="K1214" s="76"/>
      <c r="L1214" s="75"/>
      <c r="M1214" s="75"/>
      <c r="AG1214" s="75"/>
      <c r="AH1214" s="75"/>
    </row>
    <row r="1215" spans="1:68" ht="75" hidden="1" x14ac:dyDescent="0.3">
      <c r="A1215" s="151" t="s">
        <v>249</v>
      </c>
      <c r="B1215" s="12" t="s">
        <v>285</v>
      </c>
      <c r="C1215" s="12" t="s">
        <v>123</v>
      </c>
      <c r="D1215" s="12" t="s">
        <v>117</v>
      </c>
      <c r="E1215" s="13" t="s">
        <v>254</v>
      </c>
      <c r="F1215" s="12" t="s">
        <v>50</v>
      </c>
      <c r="G1215" s="53">
        <f>G1216</f>
        <v>0</v>
      </c>
      <c r="H1215" s="111"/>
      <c r="I1215" s="112"/>
      <c r="J1215" s="111"/>
      <c r="K1215" s="76"/>
      <c r="L1215" s="75"/>
      <c r="M1215" s="75"/>
      <c r="AG1215" s="75"/>
      <c r="AH1215" s="75"/>
    </row>
    <row r="1216" spans="1:68" ht="72.75" hidden="1" customHeight="1" x14ac:dyDescent="0.3">
      <c r="A1216" s="138" t="s">
        <v>253</v>
      </c>
      <c r="B1216" s="11">
        <v>936</v>
      </c>
      <c r="C1216" s="12" t="s">
        <v>123</v>
      </c>
      <c r="D1216" s="12" t="s">
        <v>117</v>
      </c>
      <c r="E1216" s="12" t="s">
        <v>255</v>
      </c>
      <c r="F1216" s="12" t="s">
        <v>50</v>
      </c>
      <c r="G1216" s="53">
        <f>G1217</f>
        <v>0</v>
      </c>
      <c r="H1216" s="111"/>
      <c r="I1216" s="112"/>
      <c r="J1216" s="111"/>
      <c r="K1216" s="76"/>
      <c r="L1216" s="75"/>
      <c r="M1216" s="75"/>
      <c r="AG1216" s="75"/>
      <c r="AH1216" s="75"/>
    </row>
    <row r="1217" spans="1:95" ht="56.25" hidden="1" x14ac:dyDescent="0.3">
      <c r="A1217" s="138" t="s">
        <v>264</v>
      </c>
      <c r="B1217" s="11">
        <v>936</v>
      </c>
      <c r="C1217" s="12" t="s">
        <v>123</v>
      </c>
      <c r="D1217" s="12" t="s">
        <v>117</v>
      </c>
      <c r="E1217" s="12" t="s">
        <v>255</v>
      </c>
      <c r="F1217" s="12" t="s">
        <v>261</v>
      </c>
      <c r="G1217" s="53">
        <v>0</v>
      </c>
      <c r="H1217" s="111"/>
      <c r="I1217" s="112"/>
      <c r="J1217" s="111"/>
      <c r="K1217" s="76"/>
      <c r="L1217" s="75"/>
      <c r="M1217" s="75"/>
      <c r="AG1217" s="75"/>
      <c r="AH1217" s="75"/>
    </row>
    <row r="1218" spans="1:95" ht="69" hidden="1" customHeight="1" x14ac:dyDescent="0.3">
      <c r="A1218" s="151" t="s">
        <v>138</v>
      </c>
      <c r="B1218" s="42" t="s">
        <v>285</v>
      </c>
      <c r="C1218" s="42" t="s">
        <v>123</v>
      </c>
      <c r="D1218" s="87" t="s">
        <v>209</v>
      </c>
      <c r="E1218" s="13" t="s">
        <v>51</v>
      </c>
      <c r="F1218" s="12" t="s">
        <v>50</v>
      </c>
      <c r="G1218" s="53">
        <f>G1219</f>
        <v>0</v>
      </c>
      <c r="H1218" s="111"/>
      <c r="I1218" s="112"/>
      <c r="J1218" s="111"/>
      <c r="K1218" s="76"/>
      <c r="L1218" s="75"/>
      <c r="M1218" s="75"/>
      <c r="AG1218" s="75"/>
      <c r="AH1218" s="75"/>
    </row>
    <row r="1219" spans="1:95" ht="45.75" hidden="1" customHeight="1" x14ac:dyDescent="0.3">
      <c r="A1219" s="138" t="s">
        <v>68</v>
      </c>
      <c r="B1219" s="11">
        <v>936</v>
      </c>
      <c r="C1219" s="42" t="s">
        <v>123</v>
      </c>
      <c r="D1219" s="87" t="s">
        <v>209</v>
      </c>
      <c r="E1219" s="12" t="s">
        <v>69</v>
      </c>
      <c r="F1219" s="12" t="s">
        <v>50</v>
      </c>
      <c r="G1219" s="53">
        <f>G1220</f>
        <v>0</v>
      </c>
      <c r="H1219" s="111"/>
      <c r="I1219" s="112"/>
      <c r="J1219" s="111"/>
      <c r="K1219" s="76"/>
      <c r="L1219" s="75"/>
      <c r="M1219" s="75"/>
      <c r="AG1219" s="75"/>
      <c r="AH1219" s="75"/>
    </row>
    <row r="1220" spans="1:95" ht="92.25" hidden="1" customHeight="1" x14ac:dyDescent="0.3">
      <c r="A1220" s="138" t="s">
        <v>76</v>
      </c>
      <c r="B1220" s="11">
        <v>936</v>
      </c>
      <c r="C1220" s="42" t="s">
        <v>123</v>
      </c>
      <c r="D1220" s="87" t="s">
        <v>209</v>
      </c>
      <c r="E1220" s="12" t="s">
        <v>41</v>
      </c>
      <c r="F1220" s="12" t="s">
        <v>50</v>
      </c>
      <c r="G1220" s="53">
        <f>G1221</f>
        <v>0</v>
      </c>
      <c r="H1220" s="111"/>
      <c r="I1220" s="112"/>
      <c r="J1220" s="111"/>
      <c r="K1220" s="76"/>
      <c r="L1220" s="75"/>
      <c r="M1220" s="75"/>
      <c r="AG1220" s="75"/>
      <c r="AH1220" s="75"/>
    </row>
    <row r="1221" spans="1:95" ht="68.25" hidden="1" customHeight="1" x14ac:dyDescent="0.3">
      <c r="A1221" s="138" t="s">
        <v>264</v>
      </c>
      <c r="B1221" s="11">
        <v>936</v>
      </c>
      <c r="C1221" s="42" t="s">
        <v>123</v>
      </c>
      <c r="D1221" s="87" t="s">
        <v>209</v>
      </c>
      <c r="E1221" s="12" t="s">
        <v>41</v>
      </c>
      <c r="F1221" s="12" t="s">
        <v>261</v>
      </c>
      <c r="G1221" s="53">
        <v>0</v>
      </c>
      <c r="H1221" s="111"/>
      <c r="I1221" s="112"/>
      <c r="J1221" s="111"/>
      <c r="K1221" s="76"/>
      <c r="L1221" s="75"/>
      <c r="M1221" s="75"/>
      <c r="AG1221" s="75"/>
      <c r="AH1221" s="75"/>
    </row>
    <row r="1222" spans="1:95" ht="69.75" customHeight="1" x14ac:dyDescent="0.3">
      <c r="A1222" s="200" t="s">
        <v>16</v>
      </c>
      <c r="B1222" s="11">
        <v>936</v>
      </c>
      <c r="C1222" s="42" t="s">
        <v>123</v>
      </c>
      <c r="D1222" s="87" t="s">
        <v>209</v>
      </c>
      <c r="E1222" s="13" t="s">
        <v>32</v>
      </c>
      <c r="F1222" s="13" t="s">
        <v>50</v>
      </c>
      <c r="G1222" s="53">
        <f>G1223+G1229+G1238</f>
        <v>139.09</v>
      </c>
      <c r="H1222" s="111"/>
      <c r="I1222" s="112"/>
      <c r="J1222" s="111"/>
      <c r="K1222" s="76"/>
      <c r="L1222" s="75"/>
      <c r="M1222" s="75"/>
      <c r="AG1222" s="75"/>
      <c r="AH1222" s="75"/>
    </row>
    <row r="1223" spans="1:95" ht="51.75" customHeight="1" x14ac:dyDescent="0.3">
      <c r="A1223" s="157" t="s">
        <v>17</v>
      </c>
      <c r="B1223" s="11">
        <v>936</v>
      </c>
      <c r="C1223" s="42" t="s">
        <v>123</v>
      </c>
      <c r="D1223" s="87" t="s">
        <v>209</v>
      </c>
      <c r="E1223" s="13" t="s">
        <v>33</v>
      </c>
      <c r="F1223" s="18" t="s">
        <v>50</v>
      </c>
      <c r="G1223" s="53">
        <f>G1224+G1227</f>
        <v>91.09</v>
      </c>
      <c r="H1223" s="111"/>
      <c r="I1223" s="112"/>
      <c r="J1223" s="111"/>
      <c r="K1223" s="76"/>
      <c r="L1223" s="75"/>
      <c r="M1223" s="75"/>
      <c r="AG1223" s="75"/>
      <c r="AH1223" s="75"/>
    </row>
    <row r="1224" spans="1:95" ht="86.25" customHeight="1" x14ac:dyDescent="0.3">
      <c r="A1224" s="138" t="s">
        <v>249</v>
      </c>
      <c r="B1224" s="11">
        <v>936</v>
      </c>
      <c r="C1224" s="42" t="s">
        <v>123</v>
      </c>
      <c r="D1224" s="87" t="s">
        <v>209</v>
      </c>
      <c r="E1224" s="13" t="s">
        <v>862</v>
      </c>
      <c r="F1224" s="18" t="s">
        <v>50</v>
      </c>
      <c r="G1224" s="53">
        <f>G1225</f>
        <v>90.09</v>
      </c>
      <c r="H1224" s="111"/>
      <c r="I1224" s="112"/>
      <c r="J1224" s="111"/>
      <c r="K1224" s="76"/>
      <c r="L1224" s="75"/>
      <c r="M1224" s="75"/>
      <c r="AG1224" s="75"/>
      <c r="AH1224" s="75"/>
    </row>
    <row r="1225" spans="1:95" ht="72.75" customHeight="1" x14ac:dyDescent="0.3">
      <c r="A1225" s="138" t="s">
        <v>437</v>
      </c>
      <c r="B1225" s="11">
        <v>936</v>
      </c>
      <c r="C1225" s="42" t="s">
        <v>123</v>
      </c>
      <c r="D1225" s="87" t="s">
        <v>209</v>
      </c>
      <c r="E1225" s="13" t="s">
        <v>863</v>
      </c>
      <c r="F1225" s="18" t="s">
        <v>50</v>
      </c>
      <c r="G1225" s="53">
        <f>G1226</f>
        <v>90.09</v>
      </c>
      <c r="H1225" s="111"/>
      <c r="I1225" s="112"/>
      <c r="J1225" s="111"/>
      <c r="K1225" s="76"/>
      <c r="L1225" s="75"/>
      <c r="M1225" s="75"/>
      <c r="AG1225" s="75"/>
      <c r="AH1225" s="75"/>
    </row>
    <row r="1226" spans="1:95" ht="45.75" customHeight="1" x14ac:dyDescent="0.3">
      <c r="A1226" s="138" t="s">
        <v>425</v>
      </c>
      <c r="B1226" s="11">
        <v>936</v>
      </c>
      <c r="C1226" s="42" t="s">
        <v>123</v>
      </c>
      <c r="D1226" s="87" t="s">
        <v>209</v>
      </c>
      <c r="E1226" s="13" t="s">
        <v>863</v>
      </c>
      <c r="F1226" s="18" t="s">
        <v>59</v>
      </c>
      <c r="G1226" s="53">
        <f>CQ1226</f>
        <v>90.09</v>
      </c>
      <c r="H1226" s="111"/>
      <c r="I1226" s="112">
        <v>6.2</v>
      </c>
      <c r="J1226" s="111"/>
      <c r="K1226" s="76"/>
      <c r="L1226" s="75"/>
      <c r="M1226" s="75"/>
      <c r="T1226">
        <v>2.7719999999999998</v>
      </c>
      <c r="AG1226" s="75"/>
      <c r="AH1226" s="75"/>
      <c r="AK1226" s="75">
        <v>11</v>
      </c>
      <c r="BH1226" s="225">
        <v>-3.3000000000000002E-2</v>
      </c>
      <c r="BO1226" s="230">
        <v>15.2</v>
      </c>
      <c r="CQ1226" s="94">
        <v>90.09</v>
      </c>
    </row>
    <row r="1227" spans="1:95" ht="108.75" customHeight="1" x14ac:dyDescent="0.3">
      <c r="A1227" s="138" t="s">
        <v>442</v>
      </c>
      <c r="B1227" s="11">
        <v>936</v>
      </c>
      <c r="C1227" s="42" t="s">
        <v>123</v>
      </c>
      <c r="D1227" s="87" t="s">
        <v>209</v>
      </c>
      <c r="E1227" s="13" t="s">
        <v>864</v>
      </c>
      <c r="F1227" s="18" t="s">
        <v>50</v>
      </c>
      <c r="G1227" s="53">
        <f>G1228</f>
        <v>1</v>
      </c>
      <c r="H1227" s="111"/>
      <c r="I1227" s="112"/>
      <c r="J1227" s="111"/>
      <c r="K1227" s="76"/>
      <c r="L1227" s="75"/>
      <c r="M1227" s="75"/>
      <c r="AG1227" s="75"/>
      <c r="AH1227" s="75"/>
    </row>
    <row r="1228" spans="1:95" ht="58.5" customHeight="1" x14ac:dyDescent="0.3">
      <c r="A1228" s="138" t="s">
        <v>425</v>
      </c>
      <c r="B1228" s="11">
        <v>936</v>
      </c>
      <c r="C1228" s="42" t="s">
        <v>123</v>
      </c>
      <c r="D1228" s="87" t="s">
        <v>209</v>
      </c>
      <c r="E1228" s="13" t="s">
        <v>865</v>
      </c>
      <c r="F1228" s="18" t="s">
        <v>59</v>
      </c>
      <c r="G1228" s="68">
        <f>CQ1228</f>
        <v>1</v>
      </c>
      <c r="H1228" s="111"/>
      <c r="I1228" s="112"/>
      <c r="J1228" s="111">
        <v>0.1</v>
      </c>
      <c r="K1228" s="76"/>
      <c r="L1228" s="75"/>
      <c r="M1228" s="75"/>
      <c r="T1228">
        <v>2.8000000000000001E-2</v>
      </c>
      <c r="AG1228" s="75"/>
      <c r="AH1228" s="75"/>
      <c r="AK1228" s="75">
        <v>0.2</v>
      </c>
      <c r="BP1228" s="231">
        <v>0.15</v>
      </c>
      <c r="CQ1228" s="94">
        <v>1</v>
      </c>
    </row>
    <row r="1229" spans="1:95" ht="45.75" customHeight="1" x14ac:dyDescent="0.3">
      <c r="A1229" s="157" t="s">
        <v>18</v>
      </c>
      <c r="B1229" s="11">
        <v>936</v>
      </c>
      <c r="C1229" s="42" t="s">
        <v>123</v>
      </c>
      <c r="D1229" s="87" t="s">
        <v>209</v>
      </c>
      <c r="E1229" s="13" t="s">
        <v>34</v>
      </c>
      <c r="F1229" s="18" t="s">
        <v>50</v>
      </c>
      <c r="G1229" s="53">
        <f>G1233+G1236+G1230+G1272</f>
        <v>0</v>
      </c>
      <c r="H1229" s="111"/>
      <c r="I1229" s="112"/>
      <c r="J1229" s="111"/>
      <c r="K1229" s="76"/>
      <c r="L1229" s="75"/>
      <c r="M1229" s="75"/>
      <c r="AG1229" s="75"/>
      <c r="AH1229" s="75"/>
    </row>
    <row r="1230" spans="1:95" ht="33.75" hidden="1" customHeight="1" x14ac:dyDescent="0.3">
      <c r="A1230" s="138" t="s">
        <v>62</v>
      </c>
      <c r="B1230" s="11">
        <v>936</v>
      </c>
      <c r="C1230" s="42" t="s">
        <v>123</v>
      </c>
      <c r="D1230" s="87" t="s">
        <v>209</v>
      </c>
      <c r="E1230" s="13" t="s">
        <v>350</v>
      </c>
      <c r="F1230" s="18" t="s">
        <v>50</v>
      </c>
      <c r="G1230" s="53">
        <f>G1231</f>
        <v>0</v>
      </c>
      <c r="H1230" s="111"/>
      <c r="I1230" s="112"/>
      <c r="J1230" s="111"/>
      <c r="K1230" s="76"/>
      <c r="L1230" s="75"/>
      <c r="M1230" s="75"/>
      <c r="AG1230" s="75"/>
      <c r="AH1230" s="75"/>
    </row>
    <row r="1231" spans="1:95" ht="45.75" hidden="1" customHeight="1" x14ac:dyDescent="0.3">
      <c r="A1231" s="158" t="s">
        <v>433</v>
      </c>
      <c r="B1231" s="11">
        <v>936</v>
      </c>
      <c r="C1231" s="42" t="s">
        <v>123</v>
      </c>
      <c r="D1231" s="87" t="s">
        <v>209</v>
      </c>
      <c r="E1231" s="13" t="s">
        <v>434</v>
      </c>
      <c r="F1231" s="18" t="s">
        <v>50</v>
      </c>
      <c r="G1231" s="53">
        <f>G1232</f>
        <v>0</v>
      </c>
      <c r="H1231" s="111"/>
      <c r="I1231" s="112"/>
      <c r="J1231" s="111"/>
      <c r="K1231" s="76"/>
      <c r="L1231" s="75"/>
      <c r="M1231" s="75"/>
      <c r="AG1231" s="75"/>
      <c r="AH1231" s="75"/>
    </row>
    <row r="1232" spans="1:95" ht="45.75" hidden="1" customHeight="1" x14ac:dyDescent="0.3">
      <c r="A1232" s="138" t="s">
        <v>425</v>
      </c>
      <c r="B1232" s="11">
        <v>936</v>
      </c>
      <c r="C1232" s="42" t="s">
        <v>123</v>
      </c>
      <c r="D1232" s="87" t="s">
        <v>209</v>
      </c>
      <c r="E1232" s="13" t="s">
        <v>434</v>
      </c>
      <c r="F1232" s="18" t="s">
        <v>59</v>
      </c>
      <c r="G1232" s="53">
        <v>0</v>
      </c>
      <c r="H1232" s="111"/>
      <c r="I1232" s="112"/>
      <c r="J1232" s="111"/>
      <c r="K1232" s="76"/>
      <c r="L1232" s="75"/>
      <c r="M1232" s="75"/>
      <c r="AG1232" s="75"/>
      <c r="AH1232" s="75"/>
    </row>
    <row r="1233" spans="1:114" ht="75" hidden="1" customHeight="1" x14ac:dyDescent="0.3">
      <c r="A1233" s="138" t="s">
        <v>249</v>
      </c>
      <c r="B1233" s="11">
        <v>936</v>
      </c>
      <c r="C1233" s="42" t="s">
        <v>123</v>
      </c>
      <c r="D1233" s="87" t="s">
        <v>209</v>
      </c>
      <c r="E1233" s="13" t="s">
        <v>862</v>
      </c>
      <c r="F1233" s="18" t="s">
        <v>50</v>
      </c>
      <c r="G1233" s="53">
        <f>G1234</f>
        <v>0</v>
      </c>
      <c r="H1233" s="111"/>
      <c r="I1233" s="112"/>
      <c r="J1233" s="111"/>
      <c r="K1233" s="76"/>
      <c r="L1233" s="75"/>
      <c r="M1233" s="75"/>
      <c r="AG1233" s="75"/>
      <c r="AH1233" s="75"/>
    </row>
    <row r="1234" spans="1:114" ht="74.25" hidden="1" customHeight="1" x14ac:dyDescent="0.3">
      <c r="A1234" s="138" t="s">
        <v>437</v>
      </c>
      <c r="B1234" s="11">
        <v>936</v>
      </c>
      <c r="C1234" s="42" t="s">
        <v>123</v>
      </c>
      <c r="D1234" s="87" t="s">
        <v>209</v>
      </c>
      <c r="E1234" s="13" t="s">
        <v>863</v>
      </c>
      <c r="F1234" s="18" t="s">
        <v>50</v>
      </c>
      <c r="G1234" s="53">
        <f>G1235</f>
        <v>0</v>
      </c>
      <c r="H1234" s="111"/>
      <c r="I1234" s="112"/>
      <c r="J1234" s="111"/>
      <c r="K1234" s="76"/>
      <c r="L1234" s="75"/>
      <c r="M1234" s="75"/>
      <c r="AG1234" s="75"/>
      <c r="AH1234" s="75"/>
    </row>
    <row r="1235" spans="1:114" ht="45.75" hidden="1" customHeight="1" x14ac:dyDescent="0.3">
      <c r="A1235" s="138" t="s">
        <v>425</v>
      </c>
      <c r="B1235" s="11">
        <v>936</v>
      </c>
      <c r="C1235" s="42" t="s">
        <v>123</v>
      </c>
      <c r="D1235" s="87" t="s">
        <v>209</v>
      </c>
      <c r="E1235" s="13" t="s">
        <v>863</v>
      </c>
      <c r="F1235" s="18" t="s">
        <v>59</v>
      </c>
      <c r="G1235" s="53">
        <v>0</v>
      </c>
      <c r="H1235" s="111"/>
      <c r="I1235" s="131">
        <v>46.18</v>
      </c>
      <c r="J1235" s="111"/>
      <c r="K1235" s="76"/>
      <c r="L1235" s="75"/>
      <c r="M1235" s="75"/>
      <c r="T1235">
        <f>-0.03-2.772</f>
        <v>-2.8019999999999996</v>
      </c>
      <c r="AG1235" s="75"/>
      <c r="AH1235" s="75"/>
      <c r="AK1235" s="75">
        <v>43.95</v>
      </c>
      <c r="BH1235" s="225">
        <v>3.3000000000000002E-2</v>
      </c>
      <c r="BO1235" s="230">
        <v>64.7</v>
      </c>
    </row>
    <row r="1236" spans="1:114" ht="111" hidden="1" customHeight="1" x14ac:dyDescent="0.3">
      <c r="A1236" s="138" t="s">
        <v>442</v>
      </c>
      <c r="B1236" s="11">
        <v>936</v>
      </c>
      <c r="C1236" s="42" t="s">
        <v>123</v>
      </c>
      <c r="D1236" s="87" t="s">
        <v>209</v>
      </c>
      <c r="E1236" s="13" t="s">
        <v>864</v>
      </c>
      <c r="F1236" s="18" t="s">
        <v>50</v>
      </c>
      <c r="G1236" s="53">
        <f>G1237</f>
        <v>0</v>
      </c>
      <c r="H1236" s="111"/>
      <c r="I1236" s="112"/>
      <c r="J1236" s="111"/>
      <c r="K1236" s="76"/>
      <c r="L1236" s="75"/>
      <c r="M1236" s="75"/>
      <c r="AG1236" s="75"/>
      <c r="AH1236" s="75"/>
    </row>
    <row r="1237" spans="1:114" ht="41.25" hidden="1" customHeight="1" x14ac:dyDescent="0.3">
      <c r="A1237" s="138" t="s">
        <v>425</v>
      </c>
      <c r="B1237" s="11">
        <v>936</v>
      </c>
      <c r="C1237" s="42" t="s">
        <v>123</v>
      </c>
      <c r="D1237" s="87" t="s">
        <v>209</v>
      </c>
      <c r="E1237" s="13" t="s">
        <v>864</v>
      </c>
      <c r="F1237" s="18" t="s">
        <v>59</v>
      </c>
      <c r="G1237" s="68">
        <v>0</v>
      </c>
      <c r="H1237" s="111"/>
      <c r="I1237" s="112"/>
      <c r="J1237" s="111">
        <v>0.5</v>
      </c>
      <c r="K1237" s="76"/>
      <c r="L1237" s="75"/>
      <c r="M1237" s="75"/>
      <c r="T1237">
        <f>0.02-0.028</f>
        <v>-8.0000000000000002E-3</v>
      </c>
      <c r="AG1237" s="75"/>
      <c r="AH1237" s="75"/>
      <c r="AK1237" s="75">
        <v>0.5</v>
      </c>
      <c r="BP1237" s="231">
        <v>0.65</v>
      </c>
    </row>
    <row r="1238" spans="1:114" ht="92.25" customHeight="1" x14ac:dyDescent="0.3">
      <c r="A1238" s="138" t="s">
        <v>56</v>
      </c>
      <c r="B1238" s="11">
        <v>936</v>
      </c>
      <c r="C1238" s="42" t="s">
        <v>123</v>
      </c>
      <c r="D1238" s="249" t="s">
        <v>209</v>
      </c>
      <c r="E1238" s="13" t="s">
        <v>37</v>
      </c>
      <c r="F1238" s="13" t="s">
        <v>50</v>
      </c>
      <c r="G1238" s="68">
        <f>G1239</f>
        <v>48</v>
      </c>
      <c r="H1238" s="111"/>
      <c r="I1238" s="112"/>
      <c r="J1238" s="111"/>
      <c r="K1238" s="76"/>
      <c r="L1238" s="75"/>
      <c r="M1238" s="75"/>
      <c r="AG1238" s="75"/>
      <c r="AH1238" s="75"/>
    </row>
    <row r="1239" spans="1:114" ht="41.25" customHeight="1" x14ac:dyDescent="0.3">
      <c r="A1239" s="138" t="s">
        <v>425</v>
      </c>
      <c r="B1239" s="11">
        <v>936</v>
      </c>
      <c r="C1239" s="42" t="s">
        <v>123</v>
      </c>
      <c r="D1239" s="249" t="s">
        <v>209</v>
      </c>
      <c r="E1239" s="13" t="s">
        <v>37</v>
      </c>
      <c r="F1239" s="12" t="s">
        <v>59</v>
      </c>
      <c r="G1239" s="68">
        <f>CV1239+DJ1239</f>
        <v>48</v>
      </c>
      <c r="H1239" s="111"/>
      <c r="I1239" s="112"/>
      <c r="J1239" s="111"/>
      <c r="K1239" s="76"/>
      <c r="L1239" s="75"/>
      <c r="M1239" s="75"/>
      <c r="AG1239" s="75"/>
      <c r="AH1239" s="75"/>
      <c r="CF1239" s="187">
        <v>5.5</v>
      </c>
      <c r="CJ1239" s="187">
        <v>31</v>
      </c>
      <c r="CL1239" s="187">
        <v>20</v>
      </c>
      <c r="CV1239" s="259">
        <v>40</v>
      </c>
      <c r="DJ1239" s="187">
        <v>8</v>
      </c>
    </row>
    <row r="1240" spans="1:114" ht="28.5" customHeight="1" x14ac:dyDescent="0.3">
      <c r="A1240" s="150" t="s">
        <v>147</v>
      </c>
      <c r="B1240" s="7" t="s">
        <v>285</v>
      </c>
      <c r="C1240" s="7" t="s">
        <v>123</v>
      </c>
      <c r="D1240" s="17" t="s">
        <v>123</v>
      </c>
      <c r="E1240" s="10" t="s">
        <v>49</v>
      </c>
      <c r="F1240" s="7" t="s">
        <v>50</v>
      </c>
      <c r="G1240" s="64">
        <f>G1241+G1267</f>
        <v>1020.6363999999999</v>
      </c>
      <c r="H1240" s="111"/>
      <c r="I1240" s="112"/>
      <c r="J1240" s="111"/>
      <c r="K1240" s="76"/>
      <c r="L1240" s="75"/>
      <c r="M1240" s="75"/>
      <c r="AG1240" s="75"/>
      <c r="AH1240" s="75"/>
    </row>
    <row r="1241" spans="1:114" ht="62.25" customHeight="1" x14ac:dyDescent="0.3">
      <c r="A1241" s="138" t="s">
        <v>38</v>
      </c>
      <c r="B1241" s="12" t="s">
        <v>285</v>
      </c>
      <c r="C1241" s="12" t="s">
        <v>123</v>
      </c>
      <c r="D1241" s="6" t="s">
        <v>123</v>
      </c>
      <c r="E1241" s="13" t="s">
        <v>400</v>
      </c>
      <c r="F1241" s="12" t="s">
        <v>50</v>
      </c>
      <c r="G1241" s="53">
        <f>G1242+G1264+G1266</f>
        <v>1015.6363999999999</v>
      </c>
      <c r="H1241" s="111"/>
      <c r="I1241" s="112"/>
      <c r="J1241" s="111"/>
      <c r="K1241" s="76"/>
      <c r="L1241" s="75"/>
      <c r="M1241" s="75"/>
      <c r="AG1241" s="75"/>
      <c r="AH1241" s="75"/>
    </row>
    <row r="1242" spans="1:114" ht="70.5" hidden="1" customHeight="1" outlineLevel="1" x14ac:dyDescent="0.3">
      <c r="A1242" s="151" t="s">
        <v>140</v>
      </c>
      <c r="B1242" s="12">
        <v>936</v>
      </c>
      <c r="C1242" s="12" t="s">
        <v>123</v>
      </c>
      <c r="D1242" s="6" t="s">
        <v>123</v>
      </c>
      <c r="E1242" s="13" t="s">
        <v>77</v>
      </c>
      <c r="F1242" s="12" t="s">
        <v>50</v>
      </c>
      <c r="G1242" s="53">
        <f>G1253+G1258+G1250+G1243</f>
        <v>1015.6363999999999</v>
      </c>
      <c r="H1242" s="111"/>
      <c r="I1242" s="112"/>
      <c r="J1242" s="111"/>
      <c r="K1242" s="76"/>
      <c r="L1242" s="75"/>
      <c r="M1242" s="75"/>
      <c r="AG1242" s="75"/>
      <c r="AH1242" s="75"/>
    </row>
    <row r="1243" spans="1:114" hidden="1" outlineLevel="1" x14ac:dyDescent="0.3">
      <c r="A1243" s="138" t="s">
        <v>62</v>
      </c>
      <c r="B1243" s="12">
        <v>936</v>
      </c>
      <c r="C1243" s="12" t="s">
        <v>123</v>
      </c>
      <c r="D1243" s="6" t="s">
        <v>123</v>
      </c>
      <c r="E1243" s="13" t="s">
        <v>152</v>
      </c>
      <c r="F1243" s="12" t="s">
        <v>50</v>
      </c>
      <c r="G1243" s="53">
        <f>G1254</f>
        <v>0</v>
      </c>
      <c r="H1243" s="111"/>
      <c r="I1243" s="112"/>
      <c r="J1243" s="111"/>
      <c r="K1243" s="76"/>
      <c r="L1243" s="75"/>
      <c r="M1243" s="75"/>
      <c r="AG1243" s="75"/>
      <c r="AH1243" s="75"/>
    </row>
    <row r="1244" spans="1:114" ht="41.25" hidden="1" customHeight="1" x14ac:dyDescent="0.3">
      <c r="A1244" s="138" t="s">
        <v>409</v>
      </c>
      <c r="B1244" s="11">
        <v>936</v>
      </c>
      <c r="C1244" s="12" t="s">
        <v>121</v>
      </c>
      <c r="D1244" s="6" t="s">
        <v>259</v>
      </c>
      <c r="E1244" s="12" t="s">
        <v>35</v>
      </c>
      <c r="F1244" s="12" t="s">
        <v>50</v>
      </c>
      <c r="G1244" s="53" t="e">
        <f>G1245+G1248+#REF!+G1261</f>
        <v>#REF!</v>
      </c>
      <c r="H1244" s="111"/>
      <c r="I1244" s="112"/>
      <c r="J1244" s="111"/>
      <c r="K1244" s="76"/>
      <c r="L1244" s="75"/>
      <c r="M1244" s="75"/>
      <c r="AG1244" s="75"/>
      <c r="AH1244" s="75"/>
    </row>
    <row r="1245" spans="1:114" hidden="1" outlineLevel="1" x14ac:dyDescent="0.3">
      <c r="A1245" s="138" t="s">
        <v>60</v>
      </c>
      <c r="B1245" s="11">
        <v>936</v>
      </c>
      <c r="C1245" s="12" t="s">
        <v>209</v>
      </c>
      <c r="D1245" s="12" t="s">
        <v>117</v>
      </c>
      <c r="E1245" s="12" t="s">
        <v>292</v>
      </c>
      <c r="F1245" s="12" t="s">
        <v>61</v>
      </c>
      <c r="G1245" s="53"/>
      <c r="H1245" s="111"/>
      <c r="I1245" s="112"/>
      <c r="J1245" s="111"/>
      <c r="K1245" s="76"/>
      <c r="L1245" s="75"/>
      <c r="M1245" s="75"/>
      <c r="AG1245" s="75"/>
      <c r="AH1245" s="75"/>
    </row>
    <row r="1246" spans="1:114" ht="56.25" hidden="1" outlineLevel="1" x14ac:dyDescent="0.3">
      <c r="A1246" s="138" t="s">
        <v>290</v>
      </c>
      <c r="B1246" s="11">
        <v>936</v>
      </c>
      <c r="C1246" s="12" t="s">
        <v>209</v>
      </c>
      <c r="D1246" s="12" t="s">
        <v>117</v>
      </c>
      <c r="E1246" s="12" t="s">
        <v>292</v>
      </c>
      <c r="F1246" s="12" t="s">
        <v>291</v>
      </c>
      <c r="G1246" s="53"/>
      <c r="H1246" s="111"/>
      <c r="I1246" s="112"/>
      <c r="J1246" s="111"/>
      <c r="K1246" s="76"/>
      <c r="L1246" s="75"/>
      <c r="M1246" s="75"/>
      <c r="AG1246" s="75"/>
      <c r="AH1246" s="75"/>
    </row>
    <row r="1247" spans="1:114" hidden="1" outlineLevel="1" x14ac:dyDescent="0.3">
      <c r="A1247" s="138" t="s">
        <v>528</v>
      </c>
      <c r="B1247" s="11">
        <v>936</v>
      </c>
      <c r="C1247" s="12" t="s">
        <v>121</v>
      </c>
      <c r="D1247" s="6" t="s">
        <v>259</v>
      </c>
      <c r="E1247" s="12" t="s">
        <v>527</v>
      </c>
      <c r="F1247" s="12" t="s">
        <v>50</v>
      </c>
      <c r="G1247" s="53"/>
      <c r="H1247" s="111"/>
      <c r="I1247" s="112"/>
      <c r="J1247" s="111"/>
      <c r="K1247" s="76"/>
      <c r="L1247" s="75"/>
      <c r="M1247" s="75"/>
      <c r="AG1247" s="75"/>
      <c r="AH1247" s="75"/>
    </row>
    <row r="1248" spans="1:114" ht="41.25" hidden="1" customHeight="1" outlineLevel="1" x14ac:dyDescent="0.3">
      <c r="A1248" s="138" t="s">
        <v>60</v>
      </c>
      <c r="B1248" s="11">
        <v>936</v>
      </c>
      <c r="C1248" s="12" t="s">
        <v>121</v>
      </c>
      <c r="D1248" s="6" t="s">
        <v>259</v>
      </c>
      <c r="E1248" s="12" t="s">
        <v>270</v>
      </c>
      <c r="F1248" s="12" t="s">
        <v>61</v>
      </c>
      <c r="G1248" s="53"/>
      <c r="H1248" s="111"/>
      <c r="I1248" s="112"/>
      <c r="J1248" s="111"/>
      <c r="K1248" s="76"/>
      <c r="L1248" s="75"/>
      <c r="M1248" s="75"/>
      <c r="AG1248" s="75"/>
      <c r="AH1248" s="75"/>
    </row>
    <row r="1249" spans="1:117" ht="56.25" hidden="1" x14ac:dyDescent="0.3">
      <c r="A1249" s="138" t="s">
        <v>264</v>
      </c>
      <c r="B1249" s="11">
        <v>936</v>
      </c>
      <c r="C1249" s="12" t="s">
        <v>123</v>
      </c>
      <c r="D1249" s="6" t="s">
        <v>123</v>
      </c>
      <c r="E1249" s="12" t="s">
        <v>455</v>
      </c>
      <c r="F1249" s="12" t="s">
        <v>261</v>
      </c>
      <c r="G1249" s="53">
        <v>0</v>
      </c>
      <c r="H1249" s="111"/>
      <c r="I1249" s="112"/>
      <c r="J1249" s="111"/>
      <c r="K1249" s="76"/>
      <c r="L1249" s="75"/>
      <c r="M1249" s="75"/>
      <c r="AG1249" s="75"/>
      <c r="AH1249" s="75"/>
    </row>
    <row r="1250" spans="1:117" hidden="1" x14ac:dyDescent="0.3">
      <c r="A1250" s="138" t="s">
        <v>62</v>
      </c>
      <c r="B1250" s="11">
        <v>905</v>
      </c>
      <c r="C1250" s="12" t="s">
        <v>123</v>
      </c>
      <c r="D1250" s="6" t="s">
        <v>123</v>
      </c>
      <c r="E1250" s="12" t="s">
        <v>152</v>
      </c>
      <c r="F1250" s="12" t="s">
        <v>50</v>
      </c>
      <c r="G1250" s="53">
        <f>G1251</f>
        <v>0</v>
      </c>
      <c r="H1250" s="111"/>
      <c r="I1250" s="112"/>
      <c r="J1250" s="111"/>
      <c r="K1250" s="76"/>
      <c r="L1250" s="75"/>
      <c r="M1250" s="75"/>
      <c r="AG1250" s="75"/>
      <c r="AH1250" s="75"/>
    </row>
    <row r="1251" spans="1:117" hidden="1" x14ac:dyDescent="0.3">
      <c r="A1251" s="138" t="s">
        <v>164</v>
      </c>
      <c r="B1251" s="11">
        <v>905</v>
      </c>
      <c r="C1251" s="12" t="s">
        <v>123</v>
      </c>
      <c r="D1251" s="6" t="s">
        <v>123</v>
      </c>
      <c r="E1251" s="12" t="s">
        <v>455</v>
      </c>
      <c r="F1251" s="12" t="s">
        <v>50</v>
      </c>
      <c r="G1251" s="53">
        <f>G1252</f>
        <v>0</v>
      </c>
      <c r="H1251" s="111"/>
      <c r="I1251" s="112"/>
      <c r="J1251" s="111"/>
      <c r="K1251" s="76"/>
      <c r="L1251" s="75"/>
      <c r="M1251" s="75"/>
      <c r="AG1251" s="75"/>
      <c r="AH1251" s="75"/>
    </row>
    <row r="1252" spans="1:117" ht="56.25" hidden="1" x14ac:dyDescent="0.3">
      <c r="A1252" s="138" t="s">
        <v>264</v>
      </c>
      <c r="B1252" s="11">
        <v>936</v>
      </c>
      <c r="C1252" s="12" t="s">
        <v>123</v>
      </c>
      <c r="D1252" s="6" t="s">
        <v>123</v>
      </c>
      <c r="E1252" s="12" t="s">
        <v>455</v>
      </c>
      <c r="F1252" s="12" t="s">
        <v>261</v>
      </c>
      <c r="G1252" s="53">
        <v>0</v>
      </c>
      <c r="H1252" s="111"/>
      <c r="I1252" s="112"/>
      <c r="J1252" s="111"/>
      <c r="K1252" s="76"/>
      <c r="L1252" s="75"/>
      <c r="M1252" s="75"/>
      <c r="U1252">
        <v>0.64</v>
      </c>
      <c r="AG1252" s="75"/>
      <c r="AH1252" s="75"/>
      <c r="AK1252" s="75">
        <v>0</v>
      </c>
    </row>
    <row r="1253" spans="1:117" ht="75" hidden="1" x14ac:dyDescent="0.3">
      <c r="A1253" s="138" t="s">
        <v>249</v>
      </c>
      <c r="B1253" s="11">
        <v>936</v>
      </c>
      <c r="C1253" s="12" t="s">
        <v>123</v>
      </c>
      <c r="D1253" s="6" t="s">
        <v>123</v>
      </c>
      <c r="E1253" s="12" t="s">
        <v>407</v>
      </c>
      <c r="F1253" s="12" t="s">
        <v>50</v>
      </c>
      <c r="G1253" s="53">
        <f>G1257</f>
        <v>1005.4800399999999</v>
      </c>
      <c r="H1253" s="111"/>
      <c r="I1253" s="112"/>
      <c r="J1253" s="111"/>
      <c r="K1253" s="76"/>
      <c r="L1253" s="75"/>
      <c r="M1253" s="75"/>
      <c r="AG1253" s="75"/>
      <c r="AH1253" s="75"/>
    </row>
    <row r="1254" spans="1:117" hidden="1" x14ac:dyDescent="0.3">
      <c r="A1254" s="138" t="s">
        <v>311</v>
      </c>
      <c r="B1254" s="12">
        <v>936</v>
      </c>
      <c r="C1254" s="12" t="s">
        <v>123</v>
      </c>
      <c r="D1254" s="6" t="s">
        <v>123</v>
      </c>
      <c r="E1254" s="12" t="s">
        <v>758</v>
      </c>
      <c r="F1254" s="12" t="s">
        <v>50</v>
      </c>
      <c r="G1254" s="53">
        <f>G1255</f>
        <v>0</v>
      </c>
      <c r="H1254" s="111"/>
      <c r="I1254" s="112"/>
      <c r="J1254" s="111"/>
      <c r="K1254" s="76"/>
      <c r="L1254" s="75"/>
      <c r="M1254" s="75"/>
      <c r="AG1254" s="75"/>
      <c r="AH1254" s="75"/>
    </row>
    <row r="1255" spans="1:117" ht="56.25" hidden="1" x14ac:dyDescent="0.3">
      <c r="A1255" s="138" t="s">
        <v>264</v>
      </c>
      <c r="B1255" s="12">
        <v>936</v>
      </c>
      <c r="C1255" s="12" t="s">
        <v>123</v>
      </c>
      <c r="D1255" s="6" t="s">
        <v>123</v>
      </c>
      <c r="E1255" s="12" t="s">
        <v>758</v>
      </c>
      <c r="F1255" s="12" t="s">
        <v>261</v>
      </c>
      <c r="G1255" s="53">
        <v>0</v>
      </c>
      <c r="H1255" s="111"/>
      <c r="I1255" s="112"/>
      <c r="J1255" s="111"/>
      <c r="K1255" s="76"/>
      <c r="L1255" s="75"/>
      <c r="M1255" s="75"/>
      <c r="AG1255" s="75"/>
      <c r="AH1255" s="75"/>
      <c r="AX1255" s="96">
        <v>40.565910000000002</v>
      </c>
      <c r="CF1255" s="187">
        <v>45.981999999999999</v>
      </c>
    </row>
    <row r="1256" spans="1:117" ht="43.5" customHeight="1" x14ac:dyDescent="0.3">
      <c r="A1256" s="138" t="s">
        <v>301</v>
      </c>
      <c r="B1256" s="11">
        <v>936</v>
      </c>
      <c r="C1256" s="12" t="s">
        <v>123</v>
      </c>
      <c r="D1256" s="6" t="s">
        <v>123</v>
      </c>
      <c r="E1256" s="12" t="s">
        <v>860</v>
      </c>
      <c r="F1256" s="12" t="s">
        <v>50</v>
      </c>
      <c r="G1256" s="53">
        <f>G1257</f>
        <v>1005.4800399999999</v>
      </c>
      <c r="H1256" s="111"/>
      <c r="I1256" s="112"/>
      <c r="J1256" s="111"/>
      <c r="K1256" s="76"/>
      <c r="L1256" s="75"/>
      <c r="M1256" s="75"/>
      <c r="AG1256" s="75"/>
      <c r="AH1256" s="75"/>
    </row>
    <row r="1257" spans="1:117" ht="56.25" x14ac:dyDescent="0.3">
      <c r="A1257" s="138" t="s">
        <v>264</v>
      </c>
      <c r="B1257" s="11">
        <v>936</v>
      </c>
      <c r="C1257" s="12" t="s">
        <v>123</v>
      </c>
      <c r="D1257" s="6" t="s">
        <v>123</v>
      </c>
      <c r="E1257" s="12" t="s">
        <v>860</v>
      </c>
      <c r="F1257" s="12" t="s">
        <v>261</v>
      </c>
      <c r="G1257" s="53">
        <f>DA1257+DB1257+DM1257</f>
        <v>1005.4800399999999</v>
      </c>
      <c r="H1257" s="111"/>
      <c r="I1257" s="112"/>
      <c r="J1257" s="111"/>
      <c r="K1257" s="76"/>
      <c r="L1257" s="75">
        <v>-162</v>
      </c>
      <c r="M1257" s="75"/>
      <c r="AG1257" s="75"/>
      <c r="AH1257" s="75"/>
      <c r="AK1257" s="75">
        <v>509.12</v>
      </c>
      <c r="AX1257" s="96">
        <f>28.49418+28.49418+261.19665+236.5017</f>
        <v>554.68670999999995</v>
      </c>
      <c r="BA1257" s="187">
        <v>12.347519999999999</v>
      </c>
      <c r="DA1257" s="260">
        <f>47.6685+47.6685+402.32214+400.4154</f>
        <v>898.07453999999996</v>
      </c>
      <c r="DB1257" s="187">
        <v>36.848199999999999</v>
      </c>
      <c r="DM1257" s="187">
        <v>70.557299999999998</v>
      </c>
    </row>
    <row r="1258" spans="1:117" ht="56.25" x14ac:dyDescent="0.3">
      <c r="A1258" s="138" t="s">
        <v>301</v>
      </c>
      <c r="B1258" s="11">
        <v>936</v>
      </c>
      <c r="C1258" s="12" t="s">
        <v>123</v>
      </c>
      <c r="D1258" s="6" t="s">
        <v>123</v>
      </c>
      <c r="E1258" s="12" t="s">
        <v>922</v>
      </c>
      <c r="F1258" s="12" t="s">
        <v>50</v>
      </c>
      <c r="G1258" s="53">
        <f>G1259</f>
        <v>10.156359999999999</v>
      </c>
      <c r="H1258" s="111"/>
      <c r="I1258" s="112"/>
      <c r="J1258" s="111"/>
      <c r="K1258" s="76"/>
      <c r="L1258" s="75"/>
      <c r="M1258" s="75"/>
      <c r="AG1258" s="75"/>
      <c r="AH1258" s="75"/>
    </row>
    <row r="1259" spans="1:117" ht="57.75" customHeight="1" x14ac:dyDescent="0.3">
      <c r="A1259" s="138" t="s">
        <v>264</v>
      </c>
      <c r="B1259" s="11">
        <v>936</v>
      </c>
      <c r="C1259" s="12" t="s">
        <v>123</v>
      </c>
      <c r="D1259" s="6" t="s">
        <v>123</v>
      </c>
      <c r="E1259" s="12" t="s">
        <v>922</v>
      </c>
      <c r="F1259" s="12" t="s">
        <v>261</v>
      </c>
      <c r="G1259" s="31">
        <f>DA1259+DB1259+DM1259</f>
        <v>10.156359999999999</v>
      </c>
      <c r="H1259" s="128"/>
      <c r="I1259" s="129"/>
      <c r="J1259" s="128"/>
      <c r="K1259" s="76"/>
      <c r="L1259" s="75">
        <v>-1.6364000000000001</v>
      </c>
      <c r="M1259" s="75"/>
      <c r="AG1259" s="75"/>
      <c r="AH1259" s="75"/>
      <c r="AK1259" s="75">
        <v>5.12</v>
      </c>
      <c r="AX1259" s="96">
        <f>0.28782+0.28782+2.63835+2.3889</f>
        <v>5.6028900000000004</v>
      </c>
      <c r="BA1259" s="187">
        <v>0.12472999999999999</v>
      </c>
      <c r="DA1259" s="260">
        <f>0.4815+0.4815+4.06386+4.0446</f>
        <v>9.0714600000000001</v>
      </c>
      <c r="DB1259" s="187">
        <v>0.37219999999999998</v>
      </c>
      <c r="DM1259" s="187">
        <v>0.7127</v>
      </c>
    </row>
    <row r="1260" spans="1:117" ht="81" hidden="1" customHeight="1" x14ac:dyDescent="0.3">
      <c r="A1260" s="151" t="s">
        <v>140</v>
      </c>
      <c r="B1260" s="11">
        <v>936</v>
      </c>
      <c r="C1260" s="12" t="s">
        <v>123</v>
      </c>
      <c r="D1260" s="6" t="s">
        <v>123</v>
      </c>
      <c r="E1260" s="12" t="s">
        <v>77</v>
      </c>
      <c r="F1260" s="12" t="s">
        <v>50</v>
      </c>
      <c r="G1260" s="53">
        <v>0</v>
      </c>
      <c r="H1260" s="111"/>
      <c r="I1260" s="112"/>
      <c r="J1260" s="111"/>
      <c r="K1260" s="76"/>
      <c r="L1260" s="75"/>
      <c r="M1260" s="75"/>
      <c r="AG1260" s="75"/>
      <c r="AH1260" s="75"/>
    </row>
    <row r="1261" spans="1:117" ht="56.25" hidden="1" outlineLevel="1" x14ac:dyDescent="0.3">
      <c r="A1261" s="138" t="s">
        <v>264</v>
      </c>
      <c r="B1261" s="11">
        <v>936</v>
      </c>
      <c r="C1261" s="12" t="s">
        <v>123</v>
      </c>
      <c r="D1261" s="6" t="s">
        <v>123</v>
      </c>
      <c r="E1261" s="12" t="s">
        <v>148</v>
      </c>
      <c r="F1261" s="12" t="s">
        <v>261</v>
      </c>
      <c r="G1261" s="53"/>
      <c r="H1261" s="111"/>
      <c r="I1261" s="112"/>
      <c r="J1261" s="111"/>
      <c r="K1261" s="76"/>
      <c r="L1261" s="75"/>
      <c r="M1261" s="75"/>
      <c r="AG1261" s="75"/>
      <c r="AH1261" s="75"/>
    </row>
    <row r="1262" spans="1:117" ht="41.25" hidden="1" customHeight="1" x14ac:dyDescent="0.3">
      <c r="A1262" s="138" t="s">
        <v>164</v>
      </c>
      <c r="B1262" s="11">
        <v>936</v>
      </c>
      <c r="C1262" s="12" t="s">
        <v>123</v>
      </c>
      <c r="D1262" s="6" t="s">
        <v>123</v>
      </c>
      <c r="E1262" s="12" t="s">
        <v>455</v>
      </c>
      <c r="F1262" s="12" t="s">
        <v>50</v>
      </c>
      <c r="G1262" s="53">
        <f>G1263</f>
        <v>0</v>
      </c>
      <c r="H1262" s="111"/>
      <c r="I1262" s="112"/>
      <c r="J1262" s="111"/>
      <c r="K1262" s="76"/>
      <c r="L1262" s="75"/>
      <c r="M1262" s="75"/>
      <c r="AG1262" s="75"/>
      <c r="AH1262" s="75"/>
    </row>
    <row r="1263" spans="1:117" ht="41.25" hidden="1" customHeight="1" x14ac:dyDescent="0.3">
      <c r="A1263" s="138" t="s">
        <v>62</v>
      </c>
      <c r="B1263" s="11">
        <v>936</v>
      </c>
      <c r="C1263" s="12" t="s">
        <v>123</v>
      </c>
      <c r="D1263" s="6" t="s">
        <v>123</v>
      </c>
      <c r="E1263" s="12" t="s">
        <v>152</v>
      </c>
      <c r="F1263" s="12" t="s">
        <v>50</v>
      </c>
      <c r="G1263" s="53">
        <v>0</v>
      </c>
      <c r="H1263" s="111"/>
      <c r="I1263" s="112"/>
      <c r="J1263" s="111"/>
      <c r="K1263" s="76"/>
      <c r="L1263" s="75"/>
      <c r="M1263" s="75"/>
      <c r="AG1263" s="75"/>
      <c r="AH1263" s="75"/>
    </row>
    <row r="1264" spans="1:117" ht="41.25" hidden="1" customHeight="1" x14ac:dyDescent="0.3">
      <c r="A1264" s="138" t="s">
        <v>141</v>
      </c>
      <c r="B1264" s="11">
        <v>936</v>
      </c>
      <c r="C1264" s="12" t="s">
        <v>529</v>
      </c>
      <c r="D1264" s="6" t="s">
        <v>123</v>
      </c>
      <c r="E1264" s="12" t="s">
        <v>79</v>
      </c>
      <c r="F1264" s="12" t="s">
        <v>50</v>
      </c>
      <c r="G1264" s="53">
        <f>G1266</f>
        <v>0</v>
      </c>
      <c r="H1264" s="111"/>
      <c r="I1264" s="112"/>
      <c r="J1264" s="111"/>
      <c r="K1264" s="76"/>
      <c r="L1264" s="75"/>
      <c r="M1264" s="75"/>
      <c r="AG1264" s="75"/>
      <c r="AH1264" s="75"/>
    </row>
    <row r="1265" spans="1:103" ht="30.75" hidden="1" customHeight="1" x14ac:dyDescent="0.3">
      <c r="A1265" s="138" t="s">
        <v>311</v>
      </c>
      <c r="B1265" s="11">
        <v>936</v>
      </c>
      <c r="C1265" s="12" t="s">
        <v>529</v>
      </c>
      <c r="D1265" s="6" t="s">
        <v>123</v>
      </c>
      <c r="E1265" s="12" t="s">
        <v>530</v>
      </c>
      <c r="F1265" s="12" t="s">
        <v>50</v>
      </c>
      <c r="G1265" s="53">
        <f>G1266</f>
        <v>0</v>
      </c>
      <c r="H1265" s="111"/>
      <c r="I1265" s="112"/>
      <c r="J1265" s="111"/>
      <c r="K1265" s="76"/>
      <c r="L1265" s="75"/>
      <c r="M1265" s="75"/>
      <c r="AG1265" s="75"/>
      <c r="AH1265" s="75"/>
    </row>
    <row r="1266" spans="1:103" ht="41.25" hidden="1" customHeight="1" x14ac:dyDescent="0.3">
      <c r="A1266" s="138" t="s">
        <v>425</v>
      </c>
      <c r="B1266" s="11">
        <v>936</v>
      </c>
      <c r="C1266" s="12" t="s">
        <v>529</v>
      </c>
      <c r="D1266" s="6" t="s">
        <v>123</v>
      </c>
      <c r="E1266" s="12" t="s">
        <v>530</v>
      </c>
      <c r="F1266" s="12" t="s">
        <v>59</v>
      </c>
      <c r="G1266" s="53">
        <f>1.5+AE1266</f>
        <v>0</v>
      </c>
      <c r="H1266" s="111"/>
      <c r="I1266" s="112"/>
      <c r="J1266" s="111"/>
      <c r="K1266" s="76"/>
      <c r="L1266" s="75"/>
      <c r="M1266" s="75"/>
      <c r="AE1266">
        <v>-1.5</v>
      </c>
      <c r="AG1266" s="75"/>
      <c r="AH1266" s="75"/>
      <c r="AK1266" s="75">
        <v>0</v>
      </c>
    </row>
    <row r="1267" spans="1:103" ht="63.75" customHeight="1" x14ac:dyDescent="0.3">
      <c r="A1267" s="138" t="s">
        <v>0</v>
      </c>
      <c r="B1267" s="11">
        <v>936</v>
      </c>
      <c r="C1267" s="12" t="s">
        <v>529</v>
      </c>
      <c r="D1267" s="6" t="s">
        <v>123</v>
      </c>
      <c r="E1267" s="12" t="s">
        <v>92</v>
      </c>
      <c r="F1267" s="12" t="s">
        <v>50</v>
      </c>
      <c r="G1267" s="53">
        <f>G1269+G1274</f>
        <v>5</v>
      </c>
      <c r="H1267" s="111"/>
      <c r="I1267" s="112"/>
      <c r="J1267" s="111"/>
      <c r="K1267" s="76"/>
      <c r="L1267" s="75"/>
      <c r="M1267" s="75"/>
      <c r="AG1267" s="75"/>
      <c r="AH1267" s="75"/>
    </row>
    <row r="1268" spans="1:103" ht="69.75" hidden="1" customHeight="1" x14ac:dyDescent="0.3">
      <c r="A1268" s="138" t="s">
        <v>504</v>
      </c>
      <c r="B1268" s="11">
        <v>936</v>
      </c>
      <c r="C1268" s="12" t="s">
        <v>529</v>
      </c>
      <c r="D1268" s="6" t="s">
        <v>123</v>
      </c>
      <c r="E1268" s="12" t="s">
        <v>520</v>
      </c>
      <c r="F1268" s="12" t="s">
        <v>50</v>
      </c>
      <c r="G1268" s="68">
        <f>G1269</f>
        <v>0</v>
      </c>
      <c r="H1268" s="111"/>
      <c r="I1268" s="112"/>
      <c r="J1268" s="111"/>
      <c r="K1268" s="76"/>
      <c r="L1268" s="75"/>
      <c r="M1268" s="75"/>
      <c r="AG1268" s="75"/>
      <c r="AH1268" s="75"/>
    </row>
    <row r="1269" spans="1:103" ht="34.5" hidden="1" customHeight="1" x14ac:dyDescent="0.3">
      <c r="A1269" s="138" t="s">
        <v>62</v>
      </c>
      <c r="B1269" s="11">
        <v>936</v>
      </c>
      <c r="C1269" s="12" t="s">
        <v>529</v>
      </c>
      <c r="D1269" s="6" t="s">
        <v>123</v>
      </c>
      <c r="E1269" s="12" t="s">
        <v>522</v>
      </c>
      <c r="F1269" s="12" t="s">
        <v>50</v>
      </c>
      <c r="G1269" s="68">
        <f>G1270</f>
        <v>0</v>
      </c>
      <c r="H1269" s="111"/>
      <c r="I1269" s="112"/>
      <c r="J1269" s="111"/>
      <c r="K1269" s="76"/>
      <c r="L1269" s="75"/>
      <c r="M1269" s="75"/>
      <c r="AG1269" s="75"/>
      <c r="AH1269" s="75"/>
    </row>
    <row r="1270" spans="1:103" ht="30.75" hidden="1" customHeight="1" x14ac:dyDescent="0.3">
      <c r="A1270" s="138" t="s">
        <v>156</v>
      </c>
      <c r="B1270" s="11">
        <v>936</v>
      </c>
      <c r="C1270" s="12" t="s">
        <v>529</v>
      </c>
      <c r="D1270" s="6" t="s">
        <v>123</v>
      </c>
      <c r="E1270" s="12" t="s">
        <v>535</v>
      </c>
      <c r="F1270" s="12" t="s">
        <v>50</v>
      </c>
      <c r="G1270" s="68">
        <f>G1271</f>
        <v>0</v>
      </c>
      <c r="H1270" s="111"/>
      <c r="I1270" s="112"/>
      <c r="J1270" s="111"/>
      <c r="K1270" s="76"/>
      <c r="L1270" s="75"/>
      <c r="M1270" s="75"/>
      <c r="AG1270" s="75"/>
      <c r="AH1270" s="75"/>
    </row>
    <row r="1271" spans="1:103" ht="41.25" hidden="1" customHeight="1" x14ac:dyDescent="0.3">
      <c r="A1271" s="138" t="s">
        <v>425</v>
      </c>
      <c r="B1271" s="11">
        <v>936</v>
      </c>
      <c r="C1271" s="12" t="s">
        <v>529</v>
      </c>
      <c r="D1271" s="6" t="s">
        <v>123</v>
      </c>
      <c r="E1271" s="12" t="s">
        <v>535</v>
      </c>
      <c r="F1271" s="12" t="s">
        <v>59</v>
      </c>
      <c r="G1271" s="68">
        <v>0</v>
      </c>
      <c r="H1271" s="111">
        <v>3</v>
      </c>
      <c r="I1271" s="112"/>
      <c r="J1271" s="111"/>
      <c r="K1271" s="76"/>
      <c r="L1271" s="75"/>
      <c r="M1271" s="75"/>
      <c r="T1271">
        <v>4</v>
      </c>
      <c r="AG1271" s="75"/>
      <c r="AH1271" s="75"/>
      <c r="AK1271" s="75">
        <v>5</v>
      </c>
      <c r="BL1271" s="187">
        <v>-3</v>
      </c>
    </row>
    <row r="1272" spans="1:103" ht="73.5" hidden="1" customHeight="1" x14ac:dyDescent="0.3">
      <c r="A1272" s="138" t="s">
        <v>56</v>
      </c>
      <c r="B1272" s="11">
        <v>936</v>
      </c>
      <c r="C1272" s="42" t="s">
        <v>123</v>
      </c>
      <c r="D1272" s="248" t="s">
        <v>209</v>
      </c>
      <c r="E1272" s="13" t="s">
        <v>37</v>
      </c>
      <c r="F1272" s="13" t="s">
        <v>50</v>
      </c>
      <c r="G1272" s="68">
        <f>G1273</f>
        <v>0</v>
      </c>
      <c r="H1272" s="111"/>
      <c r="I1272" s="112"/>
      <c r="J1272" s="111"/>
      <c r="K1272" s="76"/>
      <c r="L1272" s="75"/>
      <c r="M1272" s="75"/>
      <c r="AG1272" s="75"/>
      <c r="AH1272" s="75"/>
    </row>
    <row r="1273" spans="1:103" ht="41.25" hidden="1" customHeight="1" x14ac:dyDescent="0.3">
      <c r="A1273" s="138" t="s">
        <v>425</v>
      </c>
      <c r="B1273" s="11">
        <v>936</v>
      </c>
      <c r="C1273" s="42" t="s">
        <v>123</v>
      </c>
      <c r="D1273" s="248" t="s">
        <v>209</v>
      </c>
      <c r="E1273" s="13" t="s">
        <v>37</v>
      </c>
      <c r="F1273" s="12" t="s">
        <v>59</v>
      </c>
      <c r="G1273" s="68">
        <v>0</v>
      </c>
      <c r="H1273" s="111"/>
      <c r="I1273" s="112"/>
      <c r="J1273" s="111"/>
      <c r="K1273" s="76"/>
      <c r="L1273" s="75"/>
      <c r="M1273" s="75"/>
      <c r="AG1273" s="75"/>
      <c r="AH1273" s="75"/>
      <c r="CD1273" s="218">
        <v>4.0999999999999996</v>
      </c>
    </row>
    <row r="1274" spans="1:103" ht="41.25" customHeight="1" x14ac:dyDescent="0.3">
      <c r="A1274" s="138" t="s">
        <v>1149</v>
      </c>
      <c r="B1274" s="11">
        <v>936</v>
      </c>
      <c r="C1274" s="12" t="s">
        <v>529</v>
      </c>
      <c r="D1274" s="6" t="s">
        <v>123</v>
      </c>
      <c r="E1274" s="12" t="s">
        <v>1146</v>
      </c>
      <c r="F1274" s="12" t="s">
        <v>50</v>
      </c>
      <c r="G1274" s="68">
        <f>G1275</f>
        <v>5</v>
      </c>
      <c r="H1274" s="111"/>
      <c r="I1274" s="112"/>
      <c r="J1274" s="111"/>
      <c r="K1274" s="76"/>
      <c r="L1274" s="75"/>
      <c r="M1274" s="75"/>
      <c r="AG1274" s="75"/>
      <c r="AH1274" s="75"/>
    </row>
    <row r="1275" spans="1:103" ht="33.75" customHeight="1" x14ac:dyDescent="0.3">
      <c r="A1275" s="138" t="s">
        <v>62</v>
      </c>
      <c r="B1275" s="11">
        <v>936</v>
      </c>
      <c r="C1275" s="12" t="s">
        <v>529</v>
      </c>
      <c r="D1275" s="6" t="s">
        <v>123</v>
      </c>
      <c r="E1275" s="12" t="s">
        <v>1147</v>
      </c>
      <c r="F1275" s="12" t="s">
        <v>50</v>
      </c>
      <c r="G1275" s="68">
        <f>G1276</f>
        <v>5</v>
      </c>
      <c r="H1275" s="111"/>
      <c r="I1275" s="112"/>
      <c r="J1275" s="111"/>
      <c r="K1275" s="76"/>
      <c r="L1275" s="75"/>
      <c r="M1275" s="75"/>
      <c r="AG1275" s="75"/>
      <c r="AH1275" s="75"/>
    </row>
    <row r="1276" spans="1:103" ht="41.25" customHeight="1" x14ac:dyDescent="0.3">
      <c r="A1276" s="138" t="s">
        <v>156</v>
      </c>
      <c r="B1276" s="11">
        <v>936</v>
      </c>
      <c r="C1276" s="12" t="s">
        <v>529</v>
      </c>
      <c r="D1276" s="6" t="s">
        <v>123</v>
      </c>
      <c r="E1276" s="12" t="s">
        <v>1148</v>
      </c>
      <c r="F1276" s="12" t="s">
        <v>50</v>
      </c>
      <c r="G1276" s="68">
        <f>G1277</f>
        <v>5</v>
      </c>
      <c r="H1276" s="111"/>
      <c r="I1276" s="112"/>
      <c r="J1276" s="111"/>
      <c r="K1276" s="76"/>
      <c r="L1276" s="75"/>
      <c r="M1276" s="75"/>
      <c r="AG1276" s="75"/>
      <c r="AH1276" s="75"/>
    </row>
    <row r="1277" spans="1:103" ht="41.25" customHeight="1" x14ac:dyDescent="0.3">
      <c r="A1277" s="138" t="s">
        <v>425</v>
      </c>
      <c r="B1277" s="11">
        <v>936</v>
      </c>
      <c r="C1277" s="12" t="s">
        <v>529</v>
      </c>
      <c r="D1277" s="6" t="s">
        <v>123</v>
      </c>
      <c r="E1277" s="12" t="s">
        <v>1148</v>
      </c>
      <c r="F1277" s="12" t="s">
        <v>59</v>
      </c>
      <c r="G1277" s="68">
        <f>CY1277</f>
        <v>5</v>
      </c>
      <c r="H1277" s="111"/>
      <c r="I1277" s="112"/>
      <c r="J1277" s="111"/>
      <c r="K1277" s="76"/>
      <c r="L1277" s="75"/>
      <c r="M1277" s="75"/>
      <c r="AG1277" s="75"/>
      <c r="AH1277" s="75"/>
      <c r="CY1277" s="187">
        <v>5</v>
      </c>
    </row>
    <row r="1278" spans="1:103" ht="31.5" customHeight="1" x14ac:dyDescent="0.3">
      <c r="A1278" s="150" t="s">
        <v>129</v>
      </c>
      <c r="B1278" s="10">
        <v>936</v>
      </c>
      <c r="C1278" s="17" t="s">
        <v>130</v>
      </c>
      <c r="D1278" s="17" t="s">
        <v>112</v>
      </c>
      <c r="E1278" s="10" t="s">
        <v>49</v>
      </c>
      <c r="F1278" s="7" t="s">
        <v>50</v>
      </c>
      <c r="G1278" s="64">
        <f>G1279+G1304+G1364</f>
        <v>64545.125999999997</v>
      </c>
      <c r="H1278" s="111"/>
      <c r="I1278" s="112"/>
      <c r="J1278" s="111"/>
      <c r="K1278" s="76"/>
      <c r="L1278" s="75"/>
      <c r="M1278" s="75"/>
      <c r="AG1278" s="75"/>
      <c r="AH1278" s="75"/>
    </row>
    <row r="1279" spans="1:103" ht="32.25" customHeight="1" x14ac:dyDescent="0.3">
      <c r="A1279" s="150" t="s">
        <v>194</v>
      </c>
      <c r="B1279" s="10">
        <v>936</v>
      </c>
      <c r="C1279" s="17" t="s">
        <v>130</v>
      </c>
      <c r="D1279" s="17" t="s">
        <v>115</v>
      </c>
      <c r="E1279" s="10" t="s">
        <v>49</v>
      </c>
      <c r="F1279" s="7" t="s">
        <v>50</v>
      </c>
      <c r="G1279" s="64">
        <f>G1280+G1326+G1351+G1379</f>
        <v>64545.125999999997</v>
      </c>
      <c r="H1279" s="111"/>
      <c r="I1279" s="112"/>
      <c r="J1279" s="111"/>
      <c r="K1279" s="76"/>
      <c r="L1279" s="75"/>
      <c r="M1279" s="75"/>
      <c r="AG1279" s="75"/>
      <c r="AH1279" s="75"/>
    </row>
    <row r="1280" spans="1:103" ht="37.5" customHeight="1" x14ac:dyDescent="0.3">
      <c r="A1280" s="151" t="s">
        <v>158</v>
      </c>
      <c r="B1280" s="11">
        <v>936</v>
      </c>
      <c r="C1280" s="6" t="s">
        <v>130</v>
      </c>
      <c r="D1280" s="6" t="s">
        <v>115</v>
      </c>
      <c r="E1280" s="13" t="s">
        <v>85</v>
      </c>
      <c r="F1280" s="12" t="s">
        <v>50</v>
      </c>
      <c r="G1280" s="53">
        <f>G1281+G1287+G1294</f>
        <v>61238.439999999995</v>
      </c>
      <c r="H1280" s="111"/>
      <c r="I1280" s="112"/>
      <c r="J1280" s="111"/>
      <c r="K1280" s="76"/>
      <c r="L1280" s="75"/>
      <c r="M1280" s="75"/>
      <c r="AG1280" s="75"/>
      <c r="AH1280" s="75"/>
    </row>
    <row r="1281" spans="1:118" ht="62.25" customHeight="1" x14ac:dyDescent="0.3">
      <c r="A1281" s="151" t="s">
        <v>142</v>
      </c>
      <c r="B1281" s="11">
        <v>936</v>
      </c>
      <c r="C1281" s="6" t="s">
        <v>130</v>
      </c>
      <c r="D1281" s="6" t="s">
        <v>115</v>
      </c>
      <c r="E1281" s="13" t="s">
        <v>86</v>
      </c>
      <c r="F1281" s="12" t="s">
        <v>50</v>
      </c>
      <c r="G1281" s="53">
        <f>G1282+G1284</f>
        <v>18534.3</v>
      </c>
      <c r="H1281" s="111"/>
      <c r="I1281" s="112"/>
      <c r="J1281" s="111"/>
      <c r="K1281" s="76"/>
      <c r="L1281" s="75"/>
      <c r="M1281" s="75"/>
      <c r="AG1281" s="75"/>
      <c r="AH1281" s="75"/>
    </row>
    <row r="1282" spans="1:118" x14ac:dyDescent="0.3">
      <c r="A1282" s="138" t="s">
        <v>304</v>
      </c>
      <c r="B1282" s="11">
        <v>936</v>
      </c>
      <c r="C1282" s="6" t="s">
        <v>130</v>
      </c>
      <c r="D1282" s="6" t="s">
        <v>115</v>
      </c>
      <c r="E1282" s="12" t="s">
        <v>306</v>
      </c>
      <c r="F1282" s="12" t="s">
        <v>50</v>
      </c>
      <c r="G1282" s="53">
        <f>G1283</f>
        <v>16812.2</v>
      </c>
      <c r="H1282" s="111"/>
      <c r="I1282" s="112"/>
      <c r="J1282" s="111"/>
      <c r="K1282" s="76"/>
      <c r="L1282" s="75"/>
      <c r="M1282" s="75"/>
      <c r="AG1282" s="75"/>
      <c r="AH1282" s="75"/>
    </row>
    <row r="1283" spans="1:118" ht="56.25" x14ac:dyDescent="0.3">
      <c r="A1283" s="138" t="s">
        <v>264</v>
      </c>
      <c r="B1283" s="11">
        <v>936</v>
      </c>
      <c r="C1283" s="6" t="s">
        <v>130</v>
      </c>
      <c r="D1283" s="6" t="s">
        <v>115</v>
      </c>
      <c r="E1283" s="12" t="s">
        <v>306</v>
      </c>
      <c r="F1283" s="12" t="s">
        <v>261</v>
      </c>
      <c r="G1283" s="53">
        <f>CS1283+DC1283</f>
        <v>16812.2</v>
      </c>
      <c r="H1283" s="111">
        <f>11271.6+1660.4+22</f>
        <v>12954</v>
      </c>
      <c r="I1283" s="112"/>
      <c r="J1283" s="111"/>
      <c r="K1283" s="76"/>
      <c r="L1283" s="75"/>
      <c r="M1283" s="75"/>
      <c r="Q1283" s="85"/>
      <c r="R1283" s="84"/>
      <c r="T1283">
        <v>130</v>
      </c>
      <c r="AE1283">
        <v>43</v>
      </c>
      <c r="AG1283" s="75"/>
      <c r="AH1283" s="75">
        <v>21.48</v>
      </c>
      <c r="AK1283" s="75">
        <v>12199.2</v>
      </c>
      <c r="AN1283" s="145">
        <v>550</v>
      </c>
      <c r="BL1283" s="187">
        <v>-26.9</v>
      </c>
      <c r="BM1283" s="95">
        <v>14501.5</v>
      </c>
      <c r="CD1283" s="218">
        <v>114.9</v>
      </c>
      <c r="CS1283" s="255">
        <f>539.4+17+14939.2+1298.6</f>
        <v>16794.2</v>
      </c>
      <c r="DC1283" s="187">
        <v>18</v>
      </c>
    </row>
    <row r="1284" spans="1:118" ht="41.25" customHeight="1" x14ac:dyDescent="0.3">
      <c r="A1284" s="157" t="s">
        <v>374</v>
      </c>
      <c r="B1284" s="11">
        <v>936</v>
      </c>
      <c r="C1284" s="6" t="s">
        <v>130</v>
      </c>
      <c r="D1284" s="6" t="s">
        <v>115</v>
      </c>
      <c r="E1284" s="12" t="s">
        <v>430</v>
      </c>
      <c r="F1284" s="12" t="s">
        <v>50</v>
      </c>
      <c r="G1284" s="53">
        <f>G1285</f>
        <v>1722.1</v>
      </c>
      <c r="H1284" s="111"/>
      <c r="I1284" s="112"/>
      <c r="J1284" s="111"/>
      <c r="K1284" s="76"/>
      <c r="L1284" s="75"/>
      <c r="M1284" s="75"/>
      <c r="Q1284" s="85"/>
      <c r="R1284" s="84"/>
      <c r="AG1284" s="75"/>
      <c r="AH1284" s="75"/>
    </row>
    <row r="1285" spans="1:118" ht="56.25" x14ac:dyDescent="0.3">
      <c r="A1285" s="138" t="s">
        <v>264</v>
      </c>
      <c r="B1285" s="11">
        <v>936</v>
      </c>
      <c r="C1285" s="6" t="s">
        <v>130</v>
      </c>
      <c r="D1285" s="6" t="s">
        <v>115</v>
      </c>
      <c r="E1285" s="12" t="s">
        <v>430</v>
      </c>
      <c r="F1285" s="12" t="s">
        <v>261</v>
      </c>
      <c r="G1285" s="53">
        <f>CW1285</f>
        <v>1722.1</v>
      </c>
      <c r="H1285" s="111"/>
      <c r="I1285" s="112"/>
      <c r="J1285" s="111"/>
      <c r="K1285" s="76"/>
      <c r="L1285" s="75"/>
      <c r="M1285" s="75"/>
      <c r="Q1285" s="85"/>
      <c r="R1285" s="84"/>
      <c r="Z1285">
        <v>326.7</v>
      </c>
      <c r="AF1285">
        <v>5.1210000000000004</v>
      </c>
      <c r="AG1285" s="75">
        <v>550.5</v>
      </c>
      <c r="AH1285" s="75"/>
      <c r="AK1285" s="75">
        <v>0</v>
      </c>
      <c r="AP1285" s="146">
        <v>856.4</v>
      </c>
      <c r="BK1285" s="218">
        <v>108.7</v>
      </c>
      <c r="BY1285" s="146">
        <v>798.9</v>
      </c>
      <c r="CI1285" s="187">
        <v>992.9</v>
      </c>
      <c r="CW1285" s="259">
        <v>1722.1</v>
      </c>
    </row>
    <row r="1286" spans="1:118" ht="56.25" hidden="1" x14ac:dyDescent="0.3">
      <c r="A1286" s="138" t="s">
        <v>264</v>
      </c>
      <c r="B1286" s="11">
        <v>936</v>
      </c>
      <c r="C1286" s="6" t="s">
        <v>130</v>
      </c>
      <c r="D1286" s="6" t="s">
        <v>115</v>
      </c>
      <c r="E1286" s="12" t="s">
        <v>431</v>
      </c>
      <c r="F1286" s="12" t="s">
        <v>261</v>
      </c>
      <c r="G1286" s="53">
        <v>0</v>
      </c>
      <c r="H1286" s="111"/>
      <c r="I1286" s="112"/>
      <c r="J1286" s="111"/>
      <c r="K1286" s="76"/>
      <c r="L1286" s="75"/>
      <c r="M1286" s="75"/>
      <c r="AG1286" s="75"/>
      <c r="AH1286" s="75"/>
    </row>
    <row r="1287" spans="1:118" ht="43.5" customHeight="1" x14ac:dyDescent="0.3">
      <c r="A1287" s="151" t="s">
        <v>144</v>
      </c>
      <c r="B1287" s="11">
        <v>936</v>
      </c>
      <c r="C1287" s="6" t="s">
        <v>130</v>
      </c>
      <c r="D1287" s="6" t="s">
        <v>115</v>
      </c>
      <c r="E1287" s="13" t="s">
        <v>88</v>
      </c>
      <c r="F1287" s="12" t="s">
        <v>50</v>
      </c>
      <c r="G1287" s="53">
        <f>G1289+G1291</f>
        <v>35607.1</v>
      </c>
      <c r="H1287" s="111"/>
      <c r="I1287" s="112"/>
      <c r="J1287" s="111"/>
      <c r="K1287" s="76"/>
      <c r="L1287" s="75"/>
      <c r="M1287" s="75"/>
      <c r="Q1287" s="88"/>
      <c r="R1287" s="84"/>
      <c r="AG1287" s="75"/>
      <c r="AH1287" s="75"/>
    </row>
    <row r="1288" spans="1:118" ht="39" customHeight="1" x14ac:dyDescent="0.3">
      <c r="A1288" s="138" t="s">
        <v>307</v>
      </c>
      <c r="B1288" s="11">
        <v>936</v>
      </c>
      <c r="C1288" s="6" t="s">
        <v>130</v>
      </c>
      <c r="D1288" s="6" t="s">
        <v>115</v>
      </c>
      <c r="E1288" s="12" t="s">
        <v>309</v>
      </c>
      <c r="F1288" s="12" t="s">
        <v>50</v>
      </c>
      <c r="G1288" s="53">
        <f>G1289</f>
        <v>31055.399999999998</v>
      </c>
      <c r="H1288" s="111"/>
      <c r="I1288" s="112"/>
      <c r="J1288" s="111"/>
      <c r="K1288" s="76"/>
      <c r="L1288" s="75"/>
      <c r="M1288" s="75"/>
      <c r="Q1288" s="88"/>
      <c r="R1288" s="84"/>
      <c r="AG1288" s="75"/>
      <c r="AH1288" s="75"/>
    </row>
    <row r="1289" spans="1:118" ht="43.5" customHeight="1" x14ac:dyDescent="0.3">
      <c r="A1289" s="138" t="s">
        <v>264</v>
      </c>
      <c r="B1289" s="11">
        <v>936</v>
      </c>
      <c r="C1289" s="6" t="s">
        <v>130</v>
      </c>
      <c r="D1289" s="6" t="s">
        <v>115</v>
      </c>
      <c r="E1289" s="12" t="s">
        <v>309</v>
      </c>
      <c r="F1289" s="12" t="s">
        <v>261</v>
      </c>
      <c r="G1289" s="68">
        <f>CR1289+CS1289+DF1289+DH1289+DN1289</f>
        <v>31055.399999999998</v>
      </c>
      <c r="H1289" s="111">
        <f>19167.8+5519.8</f>
        <v>24687.599999999999</v>
      </c>
      <c r="I1289" s="112"/>
      <c r="J1289" s="111"/>
      <c r="K1289" s="76"/>
      <c r="L1289" s="75"/>
      <c r="M1289" s="75"/>
      <c r="N1289">
        <f>25+23.5</f>
        <v>48.5</v>
      </c>
      <c r="Q1289" s="88"/>
      <c r="R1289" s="84"/>
      <c r="T1289">
        <v>195.2</v>
      </c>
      <c r="U1289">
        <v>-19.5</v>
      </c>
      <c r="Z1289">
        <v>49.1</v>
      </c>
      <c r="AE1289">
        <v>6</v>
      </c>
      <c r="AG1289" s="75"/>
      <c r="AH1289" s="75">
        <v>371</v>
      </c>
      <c r="AK1289" s="75">
        <f>23433.6-299.5</f>
        <v>23134.1</v>
      </c>
      <c r="BJ1289" s="187">
        <v>-646</v>
      </c>
      <c r="BL1289" s="187">
        <v>-675</v>
      </c>
      <c r="BM1289" s="95">
        <f>26932.4-1545.5</f>
        <v>25386.9</v>
      </c>
      <c r="BX1289" s="146">
        <v>18.600000000000001</v>
      </c>
      <c r="CB1289" s="218">
        <v>37.799999999999997</v>
      </c>
      <c r="CP1289" s="251">
        <v>1697.1</v>
      </c>
      <c r="CR1289" s="94">
        <v>1000</v>
      </c>
      <c r="CS1289" s="255">
        <f>23379.3+880.1+5142</f>
        <v>29401.399999999998</v>
      </c>
      <c r="DF1289" s="187">
        <v>96</v>
      </c>
      <c r="DH1289" s="187">
        <v>76</v>
      </c>
      <c r="DN1289" s="260">
        <f>57+225+100+100</f>
        <v>482</v>
      </c>
    </row>
    <row r="1290" spans="1:118" ht="44.25" customHeight="1" x14ac:dyDescent="0.3">
      <c r="A1290" s="157" t="s">
        <v>374</v>
      </c>
      <c r="B1290" s="11">
        <v>936</v>
      </c>
      <c r="C1290" s="6" t="s">
        <v>130</v>
      </c>
      <c r="D1290" s="6" t="s">
        <v>115</v>
      </c>
      <c r="E1290" s="12" t="s">
        <v>531</v>
      </c>
      <c r="F1290" s="12" t="s">
        <v>50</v>
      </c>
      <c r="G1290" s="53">
        <f>G1291</f>
        <v>4551.7</v>
      </c>
      <c r="H1290" s="111"/>
      <c r="I1290" s="112"/>
      <c r="J1290" s="111"/>
      <c r="K1290" s="76"/>
      <c r="L1290" s="75"/>
      <c r="M1290" s="75"/>
      <c r="R1290" s="84"/>
      <c r="AG1290" s="75"/>
      <c r="AH1290" s="75"/>
    </row>
    <row r="1291" spans="1:118" ht="56.25" x14ac:dyDescent="0.3">
      <c r="A1291" s="138" t="s">
        <v>264</v>
      </c>
      <c r="B1291" s="11">
        <v>936</v>
      </c>
      <c r="C1291" s="6" t="s">
        <v>130</v>
      </c>
      <c r="D1291" s="6" t="s">
        <v>115</v>
      </c>
      <c r="E1291" s="12" t="s">
        <v>375</v>
      </c>
      <c r="F1291" s="12" t="s">
        <v>261</v>
      </c>
      <c r="G1291" s="53">
        <f>CS1291+CW1291+DI1291</f>
        <v>4551.7</v>
      </c>
      <c r="H1291" s="120">
        <v>1522.4</v>
      </c>
      <c r="I1291" s="121"/>
      <c r="J1291" s="120"/>
      <c r="K1291" s="76"/>
      <c r="L1291" s="75"/>
      <c r="M1291" s="75"/>
      <c r="Q1291" s="85"/>
      <c r="R1291" s="84"/>
      <c r="Z1291">
        <v>-360.1</v>
      </c>
      <c r="AF1291">
        <v>61.234999999999999</v>
      </c>
      <c r="AG1291" s="75">
        <v>982.4</v>
      </c>
      <c r="AH1291" s="75"/>
      <c r="AK1291" s="75">
        <v>1516.1</v>
      </c>
      <c r="AP1291" s="146">
        <v>1471.7</v>
      </c>
      <c r="BM1291" s="95">
        <v>1545.5</v>
      </c>
      <c r="BY1291" s="146">
        <v>1263.4000000000001</v>
      </c>
      <c r="CI1291" s="187">
        <v>1340.1</v>
      </c>
      <c r="CP1291" s="251">
        <v>-26.626000000000001</v>
      </c>
      <c r="CS1291" s="255">
        <v>1458.1</v>
      </c>
      <c r="CW1291" s="259">
        <v>2423.1</v>
      </c>
      <c r="DI1291" s="260">
        <v>670.5</v>
      </c>
    </row>
    <row r="1292" spans="1:118" ht="56.25" hidden="1" x14ac:dyDescent="0.3">
      <c r="A1292" s="157" t="s">
        <v>378</v>
      </c>
      <c r="B1292" s="11">
        <v>936</v>
      </c>
      <c r="C1292" s="6" t="s">
        <v>130</v>
      </c>
      <c r="D1292" s="6" t="s">
        <v>115</v>
      </c>
      <c r="E1292" s="12" t="s">
        <v>431</v>
      </c>
      <c r="F1292" s="12" t="s">
        <v>50</v>
      </c>
      <c r="G1292" s="53">
        <f>G1293</f>
        <v>0</v>
      </c>
      <c r="H1292" s="111"/>
      <c r="I1292" s="112"/>
      <c r="J1292" s="111"/>
      <c r="K1292" s="76"/>
      <c r="L1292" s="75"/>
      <c r="M1292" s="75"/>
      <c r="Q1292" s="85"/>
      <c r="AG1292" s="75"/>
      <c r="AH1292" s="75"/>
    </row>
    <row r="1293" spans="1:118" ht="93.75" hidden="1" x14ac:dyDescent="0.3">
      <c r="A1293" s="138" t="s">
        <v>56</v>
      </c>
      <c r="B1293" s="11">
        <v>936</v>
      </c>
      <c r="C1293" s="6" t="s">
        <v>130</v>
      </c>
      <c r="D1293" s="6" t="s">
        <v>115</v>
      </c>
      <c r="E1293" s="12" t="s">
        <v>432</v>
      </c>
      <c r="F1293" s="12" t="s">
        <v>261</v>
      </c>
      <c r="G1293" s="68"/>
      <c r="H1293" s="111"/>
      <c r="I1293" s="112"/>
      <c r="J1293" s="111"/>
      <c r="K1293" s="76"/>
      <c r="L1293" s="75"/>
      <c r="M1293" s="75"/>
      <c r="Q1293" s="85"/>
      <c r="AG1293" s="75"/>
      <c r="AH1293" s="75"/>
    </row>
    <row r="1294" spans="1:118" ht="40.5" customHeight="1" x14ac:dyDescent="0.3">
      <c r="A1294" s="138" t="s">
        <v>409</v>
      </c>
      <c r="B1294" s="11">
        <v>936</v>
      </c>
      <c r="C1294" s="6" t="s">
        <v>130</v>
      </c>
      <c r="D1294" s="6" t="s">
        <v>115</v>
      </c>
      <c r="E1294" s="12" t="s">
        <v>90</v>
      </c>
      <c r="F1294" s="12" t="s">
        <v>50</v>
      </c>
      <c r="G1294" s="53">
        <f>G1295+G1298+G1344+G1375+G1377+G1399</f>
        <v>7097.04</v>
      </c>
      <c r="H1294" s="111"/>
      <c r="I1294" s="112"/>
      <c r="J1294" s="111"/>
      <c r="K1294" s="76"/>
      <c r="L1294" s="75"/>
      <c r="M1294" s="75"/>
      <c r="Q1294" s="85"/>
      <c r="R1294" s="84"/>
      <c r="AG1294" s="75"/>
      <c r="AH1294" s="75"/>
    </row>
    <row r="1295" spans="1:118" ht="40.5" customHeight="1" x14ac:dyDescent="0.3">
      <c r="A1295" s="138" t="s">
        <v>62</v>
      </c>
      <c r="B1295" s="11">
        <v>936</v>
      </c>
      <c r="C1295" s="6" t="s">
        <v>130</v>
      </c>
      <c r="D1295" s="6" t="s">
        <v>115</v>
      </c>
      <c r="E1295" s="12" t="s">
        <v>310</v>
      </c>
      <c r="F1295" s="12" t="s">
        <v>50</v>
      </c>
      <c r="G1295" s="53">
        <f>G1297+G1296</f>
        <v>6808.44</v>
      </c>
      <c r="H1295" s="111"/>
      <c r="I1295" s="112"/>
      <c r="J1295" s="111"/>
      <c r="K1295" s="76"/>
      <c r="L1295" s="75"/>
      <c r="M1295" s="75"/>
      <c r="Q1295" s="85"/>
      <c r="R1295" s="84"/>
      <c r="AG1295" s="75"/>
      <c r="AH1295" s="75"/>
    </row>
    <row r="1296" spans="1:118" ht="40.5" customHeight="1" x14ac:dyDescent="0.3">
      <c r="A1296" s="138" t="s">
        <v>425</v>
      </c>
      <c r="B1296" s="11">
        <v>936</v>
      </c>
      <c r="C1296" s="6" t="s">
        <v>130</v>
      </c>
      <c r="D1296" s="6" t="s">
        <v>115</v>
      </c>
      <c r="E1296" s="12" t="s">
        <v>312</v>
      </c>
      <c r="F1296" s="12" t="s">
        <v>59</v>
      </c>
      <c r="G1296" s="53">
        <f>CV1296</f>
        <v>500</v>
      </c>
      <c r="H1296" s="111"/>
      <c r="I1296" s="112"/>
      <c r="J1296" s="111"/>
      <c r="K1296" s="76"/>
      <c r="L1296" s="75"/>
      <c r="M1296" s="75"/>
      <c r="Q1296" s="85"/>
      <c r="R1296" s="84"/>
      <c r="AG1296" s="75"/>
      <c r="AH1296" s="75"/>
      <c r="CV1296" s="259">
        <v>500</v>
      </c>
    </row>
    <row r="1297" spans="1:118" ht="40.5" customHeight="1" x14ac:dyDescent="0.3">
      <c r="A1297" s="138" t="s">
        <v>264</v>
      </c>
      <c r="B1297" s="11">
        <v>936</v>
      </c>
      <c r="C1297" s="6" t="s">
        <v>130</v>
      </c>
      <c r="D1297" s="6" t="s">
        <v>115</v>
      </c>
      <c r="E1297" s="12" t="s">
        <v>312</v>
      </c>
      <c r="F1297" s="12" t="s">
        <v>261</v>
      </c>
      <c r="G1297" s="53">
        <f>CR1297+CV1297+CY1297+CZ1297+DA1297+DL1297+DN1297</f>
        <v>6308.44</v>
      </c>
      <c r="H1297" s="120">
        <v>1326.5</v>
      </c>
      <c r="I1297" s="121"/>
      <c r="J1297" s="120"/>
      <c r="K1297" s="76"/>
      <c r="L1297" s="75"/>
      <c r="M1297" s="75"/>
      <c r="Q1297" s="85"/>
      <c r="R1297" s="84"/>
      <c r="U1297">
        <v>110</v>
      </c>
      <c r="AG1297" s="75"/>
      <c r="AH1297" s="75"/>
      <c r="AK1297" s="75">
        <v>638.5</v>
      </c>
      <c r="AV1297" s="187">
        <f>3.5+65.6</f>
        <v>69.099999999999994</v>
      </c>
      <c r="AX1297" s="96">
        <v>-65.599999999999994</v>
      </c>
      <c r="AY1297" s="218">
        <v>531.95875999999998</v>
      </c>
      <c r="BJ1297" s="187">
        <v>-5.9999999999999995E-4</v>
      </c>
      <c r="BL1297" s="187">
        <v>26.48</v>
      </c>
      <c r="BN1297" s="229">
        <f>1463.2+90</f>
        <v>1553.2</v>
      </c>
      <c r="BX1297" s="146">
        <v>95</v>
      </c>
      <c r="CD1297" s="218">
        <f>175.5+400</f>
        <v>575.5</v>
      </c>
      <c r="CF1297" s="187">
        <v>1347.3</v>
      </c>
      <c r="CH1297" s="250">
        <v>-250</v>
      </c>
      <c r="CP1297" s="251">
        <f>-161.04822</f>
        <v>-161.04821999999999</v>
      </c>
      <c r="CR1297" s="94">
        <v>1700</v>
      </c>
      <c r="CV1297" s="259">
        <v>291.8</v>
      </c>
      <c r="CY1297" s="187">
        <v>592.9</v>
      </c>
      <c r="CZ1297" s="187">
        <v>1400.24</v>
      </c>
      <c r="DA1297" s="260">
        <v>-81.5</v>
      </c>
      <c r="DL1297" s="260">
        <v>1845</v>
      </c>
      <c r="DN1297" s="260">
        <f>450+110</f>
        <v>560</v>
      </c>
    </row>
    <row r="1298" spans="1:118" ht="88.5" customHeight="1" x14ac:dyDescent="0.3">
      <c r="A1298" s="138" t="s">
        <v>313</v>
      </c>
      <c r="B1298" s="11">
        <v>936</v>
      </c>
      <c r="C1298" s="6" t="s">
        <v>130</v>
      </c>
      <c r="D1298" s="6" t="s">
        <v>115</v>
      </c>
      <c r="E1298" s="12" t="s">
        <v>314</v>
      </c>
      <c r="F1298" s="12" t="s">
        <v>50</v>
      </c>
      <c r="G1298" s="53">
        <f>G1299+G1325</f>
        <v>288.60000000000002</v>
      </c>
      <c r="H1298" s="111"/>
      <c r="I1298" s="112"/>
      <c r="J1298" s="111"/>
      <c r="K1298" s="76"/>
      <c r="L1298" s="75"/>
      <c r="M1298" s="75"/>
      <c r="Q1298" s="85"/>
      <c r="R1298" s="84"/>
      <c r="AG1298" s="75"/>
      <c r="AH1298" s="75"/>
    </row>
    <row r="1299" spans="1:118" ht="45.75" customHeight="1" x14ac:dyDescent="0.3">
      <c r="A1299" s="138" t="s">
        <v>264</v>
      </c>
      <c r="B1299" s="11">
        <v>936</v>
      </c>
      <c r="C1299" s="6" t="s">
        <v>130</v>
      </c>
      <c r="D1299" s="6" t="s">
        <v>115</v>
      </c>
      <c r="E1299" s="12" t="s">
        <v>314</v>
      </c>
      <c r="F1299" s="12" t="s">
        <v>261</v>
      </c>
      <c r="G1299" s="68">
        <f>CR1299+DC1299</f>
        <v>288.60000000000002</v>
      </c>
      <c r="H1299" s="111"/>
      <c r="I1299" s="112"/>
      <c r="J1299" s="111"/>
      <c r="K1299" s="76"/>
      <c r="L1299" s="75"/>
      <c r="M1299" s="75"/>
      <c r="N1299" s="85"/>
      <c r="AG1299" s="75"/>
      <c r="AH1299" s="75"/>
      <c r="AK1299" s="75">
        <v>32</v>
      </c>
      <c r="CR1299" s="94">
        <v>144.30000000000001</v>
      </c>
      <c r="DC1299" s="187">
        <v>144.30000000000001</v>
      </c>
    </row>
    <row r="1300" spans="1:118" ht="56.25" hidden="1" x14ac:dyDescent="0.3">
      <c r="A1300" s="157" t="s">
        <v>378</v>
      </c>
      <c r="B1300" s="11">
        <v>936</v>
      </c>
      <c r="C1300" s="6" t="s">
        <v>130</v>
      </c>
      <c r="D1300" s="6" t="s">
        <v>115</v>
      </c>
      <c r="E1300" s="12" t="s">
        <v>432</v>
      </c>
      <c r="F1300" s="12" t="s">
        <v>50</v>
      </c>
      <c r="G1300" s="68">
        <f>G1301</f>
        <v>0</v>
      </c>
      <c r="H1300" s="111"/>
      <c r="I1300" s="112"/>
      <c r="J1300" s="111"/>
      <c r="K1300" s="76"/>
      <c r="L1300" s="75"/>
      <c r="M1300" s="75"/>
      <c r="N1300" s="85"/>
      <c r="AG1300" s="75"/>
      <c r="AH1300" s="75"/>
    </row>
    <row r="1301" spans="1:118" ht="56.25" hidden="1" outlineLevel="1" x14ac:dyDescent="0.3">
      <c r="A1301" s="138" t="s">
        <v>405</v>
      </c>
      <c r="B1301" s="11">
        <v>936</v>
      </c>
      <c r="C1301" s="6" t="s">
        <v>130</v>
      </c>
      <c r="D1301" s="6" t="s">
        <v>115</v>
      </c>
      <c r="E1301" s="12" t="s">
        <v>406</v>
      </c>
      <c r="F1301" s="12" t="s">
        <v>50</v>
      </c>
      <c r="G1301" s="68">
        <f>G1302</f>
        <v>0</v>
      </c>
      <c r="H1301" s="111"/>
      <c r="I1301" s="112"/>
      <c r="J1301" s="111"/>
      <c r="K1301" s="76"/>
      <c r="L1301" s="75"/>
      <c r="M1301" s="75"/>
      <c r="N1301" s="85"/>
      <c r="AG1301" s="75"/>
      <c r="AH1301" s="75"/>
    </row>
    <row r="1302" spans="1:118" ht="36" hidden="1" customHeight="1" outlineLevel="1" x14ac:dyDescent="0.3">
      <c r="A1302" s="138" t="s">
        <v>264</v>
      </c>
      <c r="B1302" s="11">
        <v>936</v>
      </c>
      <c r="C1302" s="6" t="s">
        <v>130</v>
      </c>
      <c r="D1302" s="6" t="s">
        <v>115</v>
      </c>
      <c r="E1302" s="12" t="s">
        <v>406</v>
      </c>
      <c r="F1302" s="12" t="s">
        <v>261</v>
      </c>
      <c r="G1302" s="68">
        <f>2.6-0.858-1.742</f>
        <v>0</v>
      </c>
      <c r="H1302" s="111"/>
      <c r="I1302" s="112"/>
      <c r="J1302" s="111"/>
      <c r="K1302" s="76"/>
      <c r="L1302" s="75"/>
      <c r="M1302" s="75"/>
      <c r="N1302" s="85"/>
      <c r="AG1302" s="75"/>
      <c r="AH1302" s="75"/>
    </row>
    <row r="1303" spans="1:118" ht="56.25" hidden="1" x14ac:dyDescent="0.3">
      <c r="A1303" s="151" t="s">
        <v>11</v>
      </c>
      <c r="B1303" s="11">
        <v>936</v>
      </c>
      <c r="C1303" s="6" t="s">
        <v>130</v>
      </c>
      <c r="D1303" s="6" t="s">
        <v>115</v>
      </c>
      <c r="E1303" s="13" t="s">
        <v>29</v>
      </c>
      <c r="F1303" s="12" t="s">
        <v>50</v>
      </c>
      <c r="G1303" s="53" t="e">
        <f>#REF!</f>
        <v>#REF!</v>
      </c>
      <c r="H1303" s="111"/>
      <c r="I1303" s="112"/>
      <c r="J1303" s="111"/>
      <c r="K1303" s="76"/>
      <c r="L1303" s="75"/>
      <c r="M1303" s="75"/>
      <c r="N1303" s="85"/>
      <c r="AG1303" s="75"/>
      <c r="AH1303" s="75"/>
    </row>
    <row r="1304" spans="1:118" ht="39" hidden="1" customHeight="1" x14ac:dyDescent="0.3">
      <c r="A1304" s="138" t="s">
        <v>264</v>
      </c>
      <c r="B1304" s="11">
        <v>936</v>
      </c>
      <c r="C1304" s="6" t="s">
        <v>130</v>
      </c>
      <c r="D1304" s="6" t="s">
        <v>115</v>
      </c>
      <c r="E1304" s="12" t="s">
        <v>314</v>
      </c>
      <c r="F1304" s="12" t="s">
        <v>261</v>
      </c>
      <c r="G1304" s="68">
        <v>0</v>
      </c>
      <c r="H1304" s="111"/>
      <c r="I1304" s="112"/>
      <c r="J1304" s="111"/>
      <c r="K1304" s="76"/>
      <c r="L1304" s="75"/>
      <c r="M1304" s="75"/>
      <c r="N1304" s="85"/>
      <c r="AG1304" s="75"/>
      <c r="AH1304" s="75"/>
    </row>
    <row r="1305" spans="1:118" ht="56.25" hidden="1" x14ac:dyDescent="0.3">
      <c r="A1305" s="138" t="s">
        <v>253</v>
      </c>
      <c r="B1305" s="11">
        <v>936</v>
      </c>
      <c r="C1305" s="6" t="s">
        <v>130</v>
      </c>
      <c r="D1305" s="6" t="s">
        <v>115</v>
      </c>
      <c r="E1305" s="12" t="s">
        <v>255</v>
      </c>
      <c r="F1305" s="12" t="s">
        <v>50</v>
      </c>
      <c r="G1305" s="53">
        <f>G1306</f>
        <v>0</v>
      </c>
      <c r="H1305" s="111"/>
      <c r="I1305" s="112"/>
      <c r="J1305" s="111"/>
      <c r="K1305" s="76"/>
      <c r="L1305" s="75"/>
      <c r="M1305" s="75"/>
      <c r="N1305" s="85"/>
      <c r="AG1305" s="75"/>
      <c r="AH1305" s="75"/>
    </row>
    <row r="1306" spans="1:118" ht="56.25" hidden="1" x14ac:dyDescent="0.3">
      <c r="A1306" s="151" t="s">
        <v>161</v>
      </c>
      <c r="B1306" s="11">
        <v>936</v>
      </c>
      <c r="C1306" s="6" t="s">
        <v>130</v>
      </c>
      <c r="D1306" s="6" t="s">
        <v>115</v>
      </c>
      <c r="E1306" s="13" t="s">
        <v>99</v>
      </c>
      <c r="F1306" s="12" t="s">
        <v>50</v>
      </c>
      <c r="G1306" s="53">
        <f>G1307</f>
        <v>0</v>
      </c>
      <c r="H1306" s="111"/>
      <c r="I1306" s="112"/>
      <c r="J1306" s="111"/>
      <c r="K1306" s="76"/>
      <c r="L1306" s="75"/>
      <c r="M1306" s="75"/>
      <c r="N1306" s="85"/>
      <c r="AG1306" s="75"/>
      <c r="AH1306" s="75"/>
    </row>
    <row r="1307" spans="1:118" ht="37.5" hidden="1" x14ac:dyDescent="0.3">
      <c r="A1307" s="207" t="s">
        <v>131</v>
      </c>
      <c r="B1307" s="10">
        <v>936</v>
      </c>
      <c r="C1307" s="17" t="s">
        <v>130</v>
      </c>
      <c r="D1307" s="17" t="s">
        <v>121</v>
      </c>
      <c r="E1307" s="7" t="s">
        <v>49</v>
      </c>
      <c r="F1307" s="7" t="s">
        <v>50</v>
      </c>
      <c r="G1307" s="64">
        <f>G1308</f>
        <v>0</v>
      </c>
      <c r="H1307" s="111"/>
      <c r="I1307" s="112"/>
      <c r="J1307" s="111"/>
      <c r="K1307" s="76"/>
      <c r="L1307" s="75"/>
      <c r="M1307" s="75"/>
      <c r="N1307" s="85"/>
      <c r="AG1307" s="75"/>
      <c r="AH1307" s="75"/>
    </row>
    <row r="1308" spans="1:118" ht="42.75" hidden="1" customHeight="1" x14ac:dyDescent="0.3">
      <c r="A1308" s="138" t="s">
        <v>249</v>
      </c>
      <c r="B1308" s="11">
        <v>936</v>
      </c>
      <c r="C1308" s="6" t="s">
        <v>130</v>
      </c>
      <c r="D1308" s="6" t="s">
        <v>115</v>
      </c>
      <c r="E1308" s="12" t="s">
        <v>254</v>
      </c>
      <c r="F1308" s="12" t="s">
        <v>50</v>
      </c>
      <c r="G1308" s="53">
        <f>G1312</f>
        <v>0</v>
      </c>
      <c r="H1308" s="111"/>
      <c r="I1308" s="112"/>
      <c r="J1308" s="111"/>
      <c r="K1308" s="76"/>
      <c r="L1308" s="75"/>
      <c r="M1308" s="75"/>
      <c r="N1308" s="85"/>
      <c r="AG1308" s="75"/>
      <c r="AH1308" s="75"/>
    </row>
    <row r="1309" spans="1:118" ht="42.75" hidden="1" customHeight="1" x14ac:dyDescent="0.3">
      <c r="A1309" s="212" t="s">
        <v>158</v>
      </c>
      <c r="B1309" s="11">
        <v>936</v>
      </c>
      <c r="C1309" s="6" t="s">
        <v>130</v>
      </c>
      <c r="D1309" s="6" t="s">
        <v>121</v>
      </c>
      <c r="E1309" s="12" t="s">
        <v>85</v>
      </c>
      <c r="F1309" s="12" t="s">
        <v>50</v>
      </c>
      <c r="G1309" s="53">
        <v>0</v>
      </c>
      <c r="H1309" s="111"/>
      <c r="I1309" s="112"/>
      <c r="J1309" s="111"/>
      <c r="K1309" s="76"/>
      <c r="L1309" s="75"/>
      <c r="M1309" s="75"/>
      <c r="N1309" s="85"/>
      <c r="AG1309" s="75"/>
      <c r="AH1309" s="75"/>
    </row>
    <row r="1310" spans="1:118" ht="72" hidden="1" customHeight="1" x14ac:dyDescent="0.3">
      <c r="A1310" s="212" t="s">
        <v>142</v>
      </c>
      <c r="B1310" s="11">
        <v>936</v>
      </c>
      <c r="C1310" s="6" t="s">
        <v>130</v>
      </c>
      <c r="D1310" s="6" t="s">
        <v>121</v>
      </c>
      <c r="E1310" s="12" t="s">
        <v>86</v>
      </c>
      <c r="F1310" s="12" t="s">
        <v>50</v>
      </c>
      <c r="G1310" s="53" t="e">
        <v>#REF!</v>
      </c>
      <c r="H1310" s="111"/>
      <c r="I1310" s="112"/>
      <c r="J1310" s="111"/>
      <c r="K1310" s="76"/>
      <c r="L1310" s="75"/>
      <c r="M1310" s="75"/>
      <c r="N1310" s="85"/>
      <c r="AG1310" s="75"/>
      <c r="AH1310" s="75"/>
    </row>
    <row r="1311" spans="1:118" ht="42.75" hidden="1" customHeight="1" x14ac:dyDescent="0.3">
      <c r="A1311" s="212" t="s">
        <v>62</v>
      </c>
      <c r="B1311" s="11">
        <v>936</v>
      </c>
      <c r="C1311" s="6" t="s">
        <v>130</v>
      </c>
      <c r="D1311" s="6" t="s">
        <v>115</v>
      </c>
      <c r="E1311" s="12" t="s">
        <v>310</v>
      </c>
      <c r="F1311" s="12" t="s">
        <v>50</v>
      </c>
      <c r="G1311" s="53" t="e">
        <v>#REF!</v>
      </c>
      <c r="H1311" s="111"/>
      <c r="I1311" s="112"/>
      <c r="J1311" s="111"/>
      <c r="K1311" s="76"/>
      <c r="L1311" s="75"/>
      <c r="M1311" s="75"/>
      <c r="N1311" s="85"/>
      <c r="AG1311" s="75"/>
      <c r="AH1311" s="75"/>
    </row>
    <row r="1312" spans="1:118" ht="37.5" hidden="1" customHeight="1" x14ac:dyDescent="0.3">
      <c r="A1312" s="212" t="s">
        <v>409</v>
      </c>
      <c r="B1312" s="11">
        <v>936</v>
      </c>
      <c r="C1312" s="6" t="s">
        <v>130</v>
      </c>
      <c r="D1312" s="6" t="s">
        <v>121</v>
      </c>
      <c r="E1312" s="12" t="s">
        <v>90</v>
      </c>
      <c r="F1312" s="12" t="s">
        <v>50</v>
      </c>
      <c r="G1312" s="53">
        <f>G1313</f>
        <v>0</v>
      </c>
      <c r="H1312" s="111"/>
      <c r="I1312" s="112"/>
      <c r="J1312" s="111"/>
      <c r="K1312" s="76"/>
      <c r="L1312" s="75"/>
      <c r="M1312" s="75"/>
      <c r="N1312" s="85"/>
      <c r="AG1312" s="75"/>
      <c r="AH1312" s="75"/>
    </row>
    <row r="1313" spans="1:57" ht="51" hidden="1" customHeight="1" x14ac:dyDescent="0.3">
      <c r="A1313" s="138" t="s">
        <v>264</v>
      </c>
      <c r="B1313" s="11">
        <v>936</v>
      </c>
      <c r="C1313" s="6" t="s">
        <v>130</v>
      </c>
      <c r="D1313" s="6" t="s">
        <v>115</v>
      </c>
      <c r="E1313" s="12" t="s">
        <v>255</v>
      </c>
      <c r="F1313" s="12" t="s">
        <v>261</v>
      </c>
      <c r="G1313" s="53">
        <v>0</v>
      </c>
      <c r="H1313" s="111"/>
      <c r="I1313" s="112"/>
      <c r="J1313" s="111"/>
      <c r="K1313" s="76"/>
      <c r="L1313" s="75"/>
      <c r="M1313" s="75"/>
      <c r="N1313" s="85"/>
      <c r="AG1313" s="75"/>
      <c r="AH1313" s="75"/>
    </row>
    <row r="1314" spans="1:57" ht="63" hidden="1" customHeight="1" x14ac:dyDescent="0.3">
      <c r="A1314" s="138" t="s">
        <v>425</v>
      </c>
      <c r="B1314" s="11">
        <v>936</v>
      </c>
      <c r="C1314" s="6" t="s">
        <v>130</v>
      </c>
      <c r="D1314" s="6" t="s">
        <v>121</v>
      </c>
      <c r="E1314" s="13" t="s">
        <v>498</v>
      </c>
      <c r="F1314" s="12" t="s">
        <v>59</v>
      </c>
      <c r="G1314" s="53">
        <v>0</v>
      </c>
      <c r="H1314" s="111"/>
      <c r="I1314" s="112"/>
      <c r="J1314" s="111"/>
      <c r="K1314" s="76"/>
      <c r="L1314" s="75"/>
      <c r="M1314" s="75"/>
      <c r="N1314" s="85"/>
      <c r="AG1314" s="75"/>
      <c r="AH1314" s="75"/>
    </row>
    <row r="1315" spans="1:57" ht="42.75" hidden="1" customHeight="1" x14ac:dyDescent="0.3">
      <c r="A1315" s="150" t="s">
        <v>38</v>
      </c>
      <c r="B1315" s="10">
        <v>936</v>
      </c>
      <c r="C1315" s="39" t="s">
        <v>128</v>
      </c>
      <c r="D1315" s="90" t="s">
        <v>123</v>
      </c>
      <c r="E1315" s="19" t="s">
        <v>25</v>
      </c>
      <c r="F1315" s="7" t="s">
        <v>50</v>
      </c>
      <c r="G1315" s="64">
        <f>G1316</f>
        <v>0</v>
      </c>
      <c r="H1315" s="111"/>
      <c r="I1315" s="112"/>
      <c r="J1315" s="111"/>
      <c r="K1315" s="76"/>
      <c r="L1315" s="75"/>
      <c r="M1315" s="75"/>
      <c r="N1315" s="85"/>
      <c r="AG1315" s="75"/>
      <c r="AH1315" s="75"/>
    </row>
    <row r="1316" spans="1:57" ht="66.75" hidden="1" customHeight="1" x14ac:dyDescent="0.3">
      <c r="A1316" s="138" t="s">
        <v>521</v>
      </c>
      <c r="B1316" s="11">
        <v>936</v>
      </c>
      <c r="C1316" s="6" t="s">
        <v>128</v>
      </c>
      <c r="D1316" s="6" t="s">
        <v>128</v>
      </c>
      <c r="E1316" s="12" t="s">
        <v>520</v>
      </c>
      <c r="F1316" s="12"/>
      <c r="G1316" s="53"/>
      <c r="H1316" s="111"/>
      <c r="I1316" s="112"/>
      <c r="J1316" s="111"/>
      <c r="K1316" s="76"/>
      <c r="L1316" s="75"/>
      <c r="M1316" s="75"/>
      <c r="N1316" s="85"/>
      <c r="AG1316" s="75"/>
      <c r="AH1316" s="75"/>
    </row>
    <row r="1317" spans="1:57" ht="51.75" hidden="1" customHeight="1" x14ac:dyDescent="0.3">
      <c r="A1317" s="150" t="s">
        <v>52</v>
      </c>
      <c r="B1317" s="7" t="s">
        <v>285</v>
      </c>
      <c r="C1317" s="39" t="s">
        <v>128</v>
      </c>
      <c r="D1317" s="90" t="s">
        <v>123</v>
      </c>
      <c r="E1317" s="7" t="s">
        <v>53</v>
      </c>
      <c r="F1317" s="7" t="s">
        <v>50</v>
      </c>
      <c r="G1317" s="64" t="e">
        <f>G1318</f>
        <v>#REF!</v>
      </c>
      <c r="H1317" s="111"/>
      <c r="I1317" s="112"/>
      <c r="J1317" s="111"/>
      <c r="K1317" s="76"/>
      <c r="L1317" s="75"/>
      <c r="M1317" s="75"/>
      <c r="N1317" s="85"/>
      <c r="AG1317" s="75"/>
      <c r="AH1317" s="75"/>
    </row>
    <row r="1318" spans="1:57" ht="68.25" hidden="1" customHeight="1" x14ac:dyDescent="0.3">
      <c r="A1318" s="150" t="s">
        <v>487</v>
      </c>
      <c r="B1318" s="10">
        <v>936</v>
      </c>
      <c r="C1318" s="17" t="s">
        <v>128</v>
      </c>
      <c r="D1318" s="17" t="s">
        <v>123</v>
      </c>
      <c r="E1318" s="7" t="s">
        <v>486</v>
      </c>
      <c r="F1318" s="7" t="s">
        <v>50</v>
      </c>
      <c r="G1318" s="64" t="e">
        <f>G1324+G1319</f>
        <v>#REF!</v>
      </c>
      <c r="H1318" s="111"/>
      <c r="I1318" s="112"/>
      <c r="J1318" s="111"/>
      <c r="K1318" s="76"/>
      <c r="L1318" s="75"/>
      <c r="M1318" s="75"/>
      <c r="N1318" s="85"/>
      <c r="AG1318" s="75"/>
      <c r="AH1318" s="75"/>
    </row>
    <row r="1319" spans="1:57" ht="48.75" hidden="1" customHeight="1" x14ac:dyDescent="0.3">
      <c r="A1319" s="150" t="s">
        <v>264</v>
      </c>
      <c r="B1319" s="7" t="s">
        <v>285</v>
      </c>
      <c r="C1319" s="39" t="s">
        <v>128</v>
      </c>
      <c r="D1319" s="90" t="s">
        <v>123</v>
      </c>
      <c r="E1319" s="7" t="s">
        <v>39</v>
      </c>
      <c r="F1319" s="7" t="s">
        <v>261</v>
      </c>
      <c r="G1319" s="64">
        <v>0</v>
      </c>
      <c r="H1319" s="111"/>
      <c r="I1319" s="112"/>
      <c r="J1319" s="111"/>
      <c r="K1319" s="76"/>
      <c r="L1319" s="75"/>
      <c r="M1319" s="75"/>
      <c r="N1319" s="85"/>
      <c r="AG1319" s="75"/>
      <c r="AH1319" s="75"/>
    </row>
    <row r="1320" spans="1:57" ht="35.25" hidden="1" customHeight="1" x14ac:dyDescent="0.3">
      <c r="A1320" s="164" t="s">
        <v>138</v>
      </c>
      <c r="B1320" s="10">
        <v>936</v>
      </c>
      <c r="C1320" s="39" t="s">
        <v>128</v>
      </c>
      <c r="D1320" s="90" t="s">
        <v>123</v>
      </c>
      <c r="E1320" s="19" t="s">
        <v>51</v>
      </c>
      <c r="F1320" s="7" t="s">
        <v>50</v>
      </c>
      <c r="G1320" s="64">
        <f>G1321</f>
        <v>0</v>
      </c>
      <c r="H1320" s="111"/>
      <c r="I1320" s="112"/>
      <c r="J1320" s="111"/>
      <c r="K1320" s="76"/>
      <c r="L1320" s="75"/>
      <c r="M1320" s="75"/>
      <c r="N1320" s="85"/>
      <c r="AG1320" s="75"/>
      <c r="AH1320" s="75"/>
    </row>
    <row r="1321" spans="1:57" ht="51.75" hidden="1" customHeight="1" x14ac:dyDescent="0.3">
      <c r="A1321" s="150" t="s">
        <v>409</v>
      </c>
      <c r="B1321" s="10">
        <v>936</v>
      </c>
      <c r="C1321" s="39" t="s">
        <v>128</v>
      </c>
      <c r="D1321" s="90" t="s">
        <v>123</v>
      </c>
      <c r="E1321" s="7" t="s">
        <v>44</v>
      </c>
      <c r="F1321" s="7" t="s">
        <v>50</v>
      </c>
      <c r="G1321" s="64">
        <f>G1322</f>
        <v>0</v>
      </c>
      <c r="H1321" s="111"/>
      <c r="I1321" s="112"/>
      <c r="J1321" s="111"/>
      <c r="K1321" s="76"/>
      <c r="L1321" s="75"/>
      <c r="M1321" s="75"/>
      <c r="N1321" s="85"/>
      <c r="AG1321" s="75"/>
      <c r="AH1321" s="75"/>
    </row>
    <row r="1322" spans="1:57" ht="60.75" hidden="1" customHeight="1" x14ac:dyDescent="0.3">
      <c r="A1322" s="150" t="s">
        <v>73</v>
      </c>
      <c r="B1322" s="7" t="s">
        <v>285</v>
      </c>
      <c r="C1322" s="39" t="s">
        <v>128</v>
      </c>
      <c r="D1322" s="90" t="s">
        <v>123</v>
      </c>
      <c r="E1322" s="7" t="s">
        <v>39</v>
      </c>
      <c r="F1322" s="7" t="s">
        <v>50</v>
      </c>
      <c r="G1322" s="64">
        <f>G1323</f>
        <v>0</v>
      </c>
      <c r="H1322" s="111"/>
      <c r="I1322" s="112"/>
      <c r="J1322" s="111"/>
      <c r="K1322" s="76"/>
      <c r="L1322" s="75"/>
      <c r="M1322" s="75"/>
      <c r="N1322" s="85"/>
      <c r="AG1322" s="75"/>
      <c r="AH1322" s="75"/>
    </row>
    <row r="1323" spans="1:57" ht="28.5" hidden="1" customHeight="1" x14ac:dyDescent="0.3">
      <c r="A1323" s="150" t="s">
        <v>425</v>
      </c>
      <c r="B1323" s="10">
        <v>936</v>
      </c>
      <c r="C1323" s="17" t="s">
        <v>128</v>
      </c>
      <c r="D1323" s="17" t="s">
        <v>123</v>
      </c>
      <c r="E1323" s="7" t="s">
        <v>489</v>
      </c>
      <c r="F1323" s="7" t="s">
        <v>59</v>
      </c>
      <c r="G1323" s="64">
        <v>0</v>
      </c>
      <c r="H1323" s="111"/>
      <c r="I1323" s="112"/>
      <c r="J1323" s="111"/>
      <c r="K1323" s="76"/>
      <c r="L1323" s="75"/>
      <c r="M1323" s="75"/>
      <c r="N1323" s="85"/>
      <c r="AG1323" s="75"/>
      <c r="AH1323" s="75"/>
    </row>
    <row r="1324" spans="1:57" ht="104.25" hidden="1" customHeight="1" x14ac:dyDescent="0.3">
      <c r="A1324" s="213" t="s">
        <v>16</v>
      </c>
      <c r="B1324" s="10">
        <v>936</v>
      </c>
      <c r="C1324" s="39" t="s">
        <v>128</v>
      </c>
      <c r="D1324" s="90" t="s">
        <v>123</v>
      </c>
      <c r="E1324" s="19" t="s">
        <v>32</v>
      </c>
      <c r="F1324" s="19" t="s">
        <v>50</v>
      </c>
      <c r="G1324" s="64" t="e">
        <f>#REF!</f>
        <v>#REF!</v>
      </c>
      <c r="H1324" s="111"/>
      <c r="I1324" s="112"/>
      <c r="J1324" s="111"/>
      <c r="K1324" s="76"/>
      <c r="L1324" s="75"/>
      <c r="M1324" s="75"/>
      <c r="N1324" s="85"/>
      <c r="AG1324" s="75"/>
      <c r="AH1324" s="75"/>
    </row>
    <row r="1325" spans="1:57" ht="44.25" hidden="1" customHeight="1" x14ac:dyDescent="0.3">
      <c r="A1325" s="138" t="s">
        <v>264</v>
      </c>
      <c r="B1325" s="29" t="s">
        <v>285</v>
      </c>
      <c r="C1325" s="29" t="s">
        <v>130</v>
      </c>
      <c r="D1325" s="28" t="s">
        <v>115</v>
      </c>
      <c r="E1325" s="12" t="s">
        <v>314</v>
      </c>
      <c r="F1325" s="13" t="s">
        <v>261</v>
      </c>
      <c r="G1325" s="53">
        <v>0</v>
      </c>
      <c r="H1325" s="111">
        <v>90</v>
      </c>
      <c r="I1325" s="112"/>
      <c r="J1325" s="111"/>
      <c r="K1325" s="76"/>
      <c r="L1325" s="75"/>
      <c r="M1325" s="75">
        <v>140</v>
      </c>
      <c r="N1325" s="85"/>
      <c r="AE1325">
        <v>12.5</v>
      </c>
      <c r="AG1325" s="75"/>
      <c r="AH1325" s="75">
        <v>0.02</v>
      </c>
      <c r="AK1325" s="75">
        <v>150</v>
      </c>
      <c r="BE1325" s="218">
        <v>90</v>
      </c>
    </row>
    <row r="1326" spans="1:57" ht="45" hidden="1" customHeight="1" x14ac:dyDescent="0.3">
      <c r="A1326" s="151" t="s">
        <v>161</v>
      </c>
      <c r="B1326" s="29" t="s">
        <v>285</v>
      </c>
      <c r="C1326" s="29" t="s">
        <v>130</v>
      </c>
      <c r="D1326" s="28" t="s">
        <v>115</v>
      </c>
      <c r="E1326" s="13" t="s">
        <v>99</v>
      </c>
      <c r="F1326" s="29" t="s">
        <v>50</v>
      </c>
      <c r="G1326" s="53">
        <f>G1327</f>
        <v>0</v>
      </c>
      <c r="H1326" s="111"/>
      <c r="I1326" s="112"/>
      <c r="J1326" s="111"/>
      <c r="K1326" s="76"/>
      <c r="L1326" s="75"/>
      <c r="M1326" s="75"/>
      <c r="N1326" s="85"/>
      <c r="AG1326" s="75"/>
      <c r="AH1326" s="75"/>
    </row>
    <row r="1327" spans="1:57" ht="66" hidden="1" customHeight="1" x14ac:dyDescent="0.3">
      <c r="A1327" s="151" t="s">
        <v>11</v>
      </c>
      <c r="B1327" s="11">
        <v>936</v>
      </c>
      <c r="C1327" s="12" t="s">
        <v>130</v>
      </c>
      <c r="D1327" s="12" t="s">
        <v>115</v>
      </c>
      <c r="E1327" s="13" t="s">
        <v>29</v>
      </c>
      <c r="F1327" s="12" t="s">
        <v>50</v>
      </c>
      <c r="G1327" s="53">
        <f>G1328+G1333+G1336+G1338</f>
        <v>0</v>
      </c>
      <c r="H1327" s="111"/>
      <c r="I1327" s="112"/>
      <c r="J1327" s="111"/>
      <c r="K1327" s="76"/>
      <c r="L1327" s="75"/>
      <c r="M1327" s="75"/>
      <c r="N1327" s="85"/>
      <c r="AG1327" s="75"/>
      <c r="AH1327" s="75"/>
    </row>
    <row r="1328" spans="1:57" ht="54" hidden="1" customHeight="1" x14ac:dyDescent="0.3">
      <c r="A1328" s="138" t="s">
        <v>249</v>
      </c>
      <c r="B1328" s="11">
        <v>936</v>
      </c>
      <c r="C1328" s="12" t="s">
        <v>130</v>
      </c>
      <c r="D1328" s="12" t="s">
        <v>115</v>
      </c>
      <c r="E1328" s="12" t="s">
        <v>254</v>
      </c>
      <c r="F1328" s="12" t="s">
        <v>50</v>
      </c>
      <c r="G1328" s="53">
        <f>G1329+G1331</f>
        <v>0</v>
      </c>
      <c r="H1328" s="111"/>
      <c r="I1328" s="112"/>
      <c r="J1328" s="111"/>
      <c r="K1328" s="76"/>
      <c r="L1328" s="75"/>
      <c r="M1328" s="75"/>
      <c r="N1328" s="85"/>
      <c r="AG1328" s="75"/>
      <c r="AH1328" s="75"/>
    </row>
    <row r="1329" spans="1:37" ht="136.5" hidden="1" customHeight="1" x14ac:dyDescent="0.3">
      <c r="A1329" s="138" t="s">
        <v>572</v>
      </c>
      <c r="B1329" s="11">
        <v>936</v>
      </c>
      <c r="C1329" s="12" t="s">
        <v>130</v>
      </c>
      <c r="D1329" s="12" t="s">
        <v>115</v>
      </c>
      <c r="E1329" s="13" t="s">
        <v>602</v>
      </c>
      <c r="F1329" s="12" t="s">
        <v>50</v>
      </c>
      <c r="G1329" s="53">
        <f>G1330</f>
        <v>0</v>
      </c>
      <c r="H1329" s="111"/>
      <c r="I1329" s="112"/>
      <c r="J1329" s="111"/>
      <c r="K1329" s="76"/>
      <c r="L1329" s="75"/>
      <c r="M1329" s="75"/>
      <c r="N1329" s="85"/>
      <c r="AG1329" s="75"/>
      <c r="AH1329" s="75"/>
    </row>
    <row r="1330" spans="1:37" ht="45.75" hidden="1" customHeight="1" x14ac:dyDescent="0.3">
      <c r="A1330" s="138" t="s">
        <v>425</v>
      </c>
      <c r="B1330" s="11">
        <v>936</v>
      </c>
      <c r="C1330" s="12" t="s">
        <v>130</v>
      </c>
      <c r="D1330" s="12" t="s">
        <v>115</v>
      </c>
      <c r="E1330" s="13" t="s">
        <v>602</v>
      </c>
      <c r="F1330" s="12" t="s">
        <v>59</v>
      </c>
      <c r="G1330" s="53">
        <v>0</v>
      </c>
      <c r="H1330" s="111"/>
      <c r="I1330" s="112"/>
      <c r="J1330" s="111"/>
      <c r="K1330" s="76"/>
      <c r="L1330" s="75"/>
      <c r="M1330" s="75"/>
      <c r="N1330" s="85" t="s">
        <v>582</v>
      </c>
      <c r="AG1330" s="75"/>
      <c r="AH1330" s="75"/>
      <c r="AK1330" s="75">
        <v>0</v>
      </c>
    </row>
    <row r="1331" spans="1:37" ht="129.75" hidden="1" customHeight="1" x14ac:dyDescent="0.3">
      <c r="A1331" s="138" t="s">
        <v>573</v>
      </c>
      <c r="B1331" s="11">
        <v>936</v>
      </c>
      <c r="C1331" s="12" t="s">
        <v>130</v>
      </c>
      <c r="D1331" s="12" t="s">
        <v>115</v>
      </c>
      <c r="E1331" s="13" t="s">
        <v>601</v>
      </c>
      <c r="F1331" s="12" t="s">
        <v>50</v>
      </c>
      <c r="G1331" s="53">
        <f>G1332</f>
        <v>0</v>
      </c>
      <c r="H1331" s="111"/>
      <c r="I1331" s="112"/>
      <c r="J1331" s="111"/>
      <c r="K1331" s="76"/>
      <c r="L1331" s="75"/>
      <c r="M1331" s="75"/>
      <c r="N1331" s="85"/>
      <c r="AG1331" s="75"/>
      <c r="AH1331" s="75"/>
    </row>
    <row r="1332" spans="1:37" ht="39.75" hidden="1" customHeight="1" x14ac:dyDescent="0.3">
      <c r="A1332" s="138" t="s">
        <v>264</v>
      </c>
      <c r="B1332" s="11">
        <v>936</v>
      </c>
      <c r="C1332" s="12" t="s">
        <v>130</v>
      </c>
      <c r="D1332" s="12" t="s">
        <v>115</v>
      </c>
      <c r="E1332" s="13" t="s">
        <v>601</v>
      </c>
      <c r="F1332" s="13" t="s">
        <v>261</v>
      </c>
      <c r="G1332" s="53">
        <v>0</v>
      </c>
      <c r="H1332" s="111"/>
      <c r="I1332" s="112"/>
      <c r="J1332" s="111"/>
      <c r="K1332" s="76">
        <v>1000</v>
      </c>
      <c r="L1332" s="75"/>
      <c r="M1332" s="75"/>
      <c r="N1332" s="85"/>
      <c r="AG1332" s="75"/>
      <c r="AH1332" s="75"/>
      <c r="AK1332" s="75">
        <v>0</v>
      </c>
    </row>
    <row r="1333" spans="1:37" ht="135.75" hidden="1" customHeight="1" x14ac:dyDescent="0.3">
      <c r="A1333" s="138" t="s">
        <v>572</v>
      </c>
      <c r="B1333" s="11">
        <v>936</v>
      </c>
      <c r="C1333" s="12" t="s">
        <v>130</v>
      </c>
      <c r="D1333" s="12" t="s">
        <v>115</v>
      </c>
      <c r="E1333" s="13" t="s">
        <v>599</v>
      </c>
      <c r="F1333" s="13" t="s">
        <v>50</v>
      </c>
      <c r="G1333" s="53">
        <f>G1335+G1334</f>
        <v>0</v>
      </c>
      <c r="H1333" s="111"/>
      <c r="I1333" s="112"/>
      <c r="J1333" s="111"/>
      <c r="K1333" s="76"/>
      <c r="L1333" s="75"/>
      <c r="M1333" s="75"/>
      <c r="N1333" s="85"/>
      <c r="AG1333" s="75"/>
      <c r="AH1333" s="75"/>
    </row>
    <row r="1334" spans="1:37" ht="52.5" hidden="1" customHeight="1" x14ac:dyDescent="0.3">
      <c r="A1334" s="138" t="s">
        <v>425</v>
      </c>
      <c r="B1334" s="11">
        <v>936</v>
      </c>
      <c r="C1334" s="12" t="s">
        <v>130</v>
      </c>
      <c r="D1334" s="12" t="s">
        <v>115</v>
      </c>
      <c r="E1334" s="13" t="s">
        <v>599</v>
      </c>
      <c r="F1334" s="13" t="s">
        <v>59</v>
      </c>
      <c r="G1334" s="53">
        <v>0</v>
      </c>
      <c r="H1334" s="111"/>
      <c r="I1334" s="112"/>
      <c r="J1334" s="111"/>
      <c r="K1334" s="76"/>
      <c r="L1334" s="75"/>
      <c r="M1334" s="75"/>
      <c r="N1334" s="85" t="s">
        <v>585</v>
      </c>
      <c r="AG1334" s="75"/>
      <c r="AH1334" s="75"/>
      <c r="AK1334" s="75">
        <v>0</v>
      </c>
    </row>
    <row r="1335" spans="1:37" ht="42" hidden="1" customHeight="1" x14ac:dyDescent="0.3">
      <c r="A1335" s="138" t="s">
        <v>264</v>
      </c>
      <c r="B1335" s="11">
        <v>936</v>
      </c>
      <c r="C1335" s="12" t="s">
        <v>130</v>
      </c>
      <c r="D1335" s="12" t="s">
        <v>115</v>
      </c>
      <c r="E1335" s="13" t="s">
        <v>599</v>
      </c>
      <c r="F1335" s="13" t="s">
        <v>261</v>
      </c>
      <c r="G1335" s="53">
        <f>M1335+N1335</f>
        <v>0</v>
      </c>
      <c r="H1335" s="111"/>
      <c r="I1335" s="112"/>
      <c r="J1335" s="111"/>
      <c r="K1335" s="76"/>
      <c r="L1335" s="75"/>
      <c r="M1335" s="75">
        <v>233.94900000000001</v>
      </c>
      <c r="N1335" s="85" t="s">
        <v>581</v>
      </c>
      <c r="AG1335" s="75"/>
      <c r="AH1335" s="75"/>
      <c r="AK1335" s="75">
        <v>0</v>
      </c>
    </row>
    <row r="1336" spans="1:37" ht="169.5" hidden="1" customHeight="1" x14ac:dyDescent="0.3">
      <c r="A1336" s="138" t="s">
        <v>573</v>
      </c>
      <c r="B1336" s="11">
        <v>936</v>
      </c>
      <c r="C1336" s="12" t="s">
        <v>130</v>
      </c>
      <c r="D1336" s="12" t="s">
        <v>115</v>
      </c>
      <c r="E1336" s="13" t="s">
        <v>598</v>
      </c>
      <c r="F1336" s="13" t="s">
        <v>50</v>
      </c>
      <c r="G1336" s="53">
        <f>G1337</f>
        <v>0</v>
      </c>
      <c r="H1336" s="111"/>
      <c r="I1336" s="112"/>
      <c r="J1336" s="111"/>
      <c r="K1336" s="76"/>
      <c r="L1336" s="75"/>
      <c r="M1336" s="75"/>
      <c r="N1336" s="85"/>
      <c r="AG1336" s="75"/>
      <c r="AH1336" s="75"/>
    </row>
    <row r="1337" spans="1:37" ht="40.5" hidden="1" customHeight="1" x14ac:dyDescent="0.3">
      <c r="A1337" s="138" t="s">
        <v>264</v>
      </c>
      <c r="B1337" s="11">
        <v>936</v>
      </c>
      <c r="C1337" s="12" t="s">
        <v>130</v>
      </c>
      <c r="D1337" s="12" t="s">
        <v>115</v>
      </c>
      <c r="E1337" s="13" t="s">
        <v>598</v>
      </c>
      <c r="F1337" s="13" t="s">
        <v>261</v>
      </c>
      <c r="G1337" s="68">
        <v>0</v>
      </c>
      <c r="H1337" s="111"/>
      <c r="I1337" s="112"/>
      <c r="J1337" s="111"/>
      <c r="K1337" s="76"/>
      <c r="L1337" s="75"/>
      <c r="M1337" s="75">
        <v>487.02300000000002</v>
      </c>
      <c r="N1337" s="85"/>
      <c r="AG1337" s="75"/>
      <c r="AH1337" s="75"/>
      <c r="AK1337" s="75">
        <v>0</v>
      </c>
    </row>
    <row r="1338" spans="1:37" ht="24.75" hidden="1" customHeight="1" x14ac:dyDescent="0.3">
      <c r="A1338" s="138" t="s">
        <v>62</v>
      </c>
      <c r="B1338" s="11">
        <v>936</v>
      </c>
      <c r="C1338" s="12" t="s">
        <v>130</v>
      </c>
      <c r="D1338" s="12" t="s">
        <v>115</v>
      </c>
      <c r="E1338" s="12" t="s">
        <v>251</v>
      </c>
      <c r="F1338" s="12" t="s">
        <v>50</v>
      </c>
      <c r="G1338" s="53">
        <f>G1339+G1342</f>
        <v>0</v>
      </c>
      <c r="H1338" s="111"/>
      <c r="I1338" s="112"/>
      <c r="J1338" s="111"/>
      <c r="K1338" s="76"/>
      <c r="L1338" s="75"/>
      <c r="M1338" s="75"/>
      <c r="N1338" s="85"/>
      <c r="AG1338" s="75"/>
      <c r="AH1338" s="75"/>
    </row>
    <row r="1339" spans="1:37" ht="117.75" hidden="1" customHeight="1" x14ac:dyDescent="0.3">
      <c r="A1339" s="138" t="s">
        <v>574</v>
      </c>
      <c r="B1339" s="11">
        <v>936</v>
      </c>
      <c r="C1339" s="12" t="s">
        <v>130</v>
      </c>
      <c r="D1339" s="12" t="s">
        <v>115</v>
      </c>
      <c r="E1339" s="13" t="s">
        <v>606</v>
      </c>
      <c r="F1339" s="12" t="s">
        <v>50</v>
      </c>
      <c r="G1339" s="53">
        <f>G1341+G1340</f>
        <v>0</v>
      </c>
      <c r="H1339" s="111"/>
      <c r="I1339" s="112"/>
      <c r="J1339" s="111"/>
      <c r="K1339" s="76"/>
      <c r="L1339" s="75"/>
      <c r="M1339" s="75"/>
      <c r="N1339" s="85"/>
      <c r="AG1339" s="75"/>
      <c r="AH1339" s="75"/>
    </row>
    <row r="1340" spans="1:37" ht="47.25" hidden="1" customHeight="1" x14ac:dyDescent="0.3">
      <c r="A1340" s="138" t="s">
        <v>425</v>
      </c>
      <c r="B1340" s="11">
        <v>936</v>
      </c>
      <c r="C1340" s="12" t="s">
        <v>130</v>
      </c>
      <c r="D1340" s="12" t="s">
        <v>115</v>
      </c>
      <c r="E1340" s="13" t="s">
        <v>606</v>
      </c>
      <c r="F1340" s="12" t="s">
        <v>59</v>
      </c>
      <c r="G1340" s="53">
        <v>0</v>
      </c>
      <c r="H1340" s="111"/>
      <c r="I1340" s="112"/>
      <c r="J1340" s="111"/>
      <c r="K1340" s="76"/>
      <c r="L1340" s="75"/>
      <c r="M1340" s="75"/>
      <c r="N1340" s="85" t="s">
        <v>583</v>
      </c>
      <c r="AG1340" s="75"/>
      <c r="AH1340" s="75"/>
      <c r="AK1340" s="75">
        <v>0</v>
      </c>
    </row>
    <row r="1341" spans="1:37" ht="46.5" hidden="1" customHeight="1" x14ac:dyDescent="0.3">
      <c r="A1341" s="138" t="s">
        <v>264</v>
      </c>
      <c r="B1341" s="11">
        <v>936</v>
      </c>
      <c r="C1341" s="12" t="s">
        <v>130</v>
      </c>
      <c r="D1341" s="12" t="s">
        <v>115</v>
      </c>
      <c r="E1341" s="13" t="s">
        <v>606</v>
      </c>
      <c r="F1341" s="13" t="s">
        <v>261</v>
      </c>
      <c r="G1341" s="53">
        <f>M1341+N1341</f>
        <v>0</v>
      </c>
      <c r="H1341" s="111"/>
      <c r="I1341" s="112"/>
      <c r="J1341" s="111"/>
      <c r="K1341" s="76"/>
      <c r="L1341" s="75"/>
      <c r="M1341" s="75">
        <v>170</v>
      </c>
      <c r="N1341" s="85" t="s">
        <v>580</v>
      </c>
      <c r="AG1341" s="75"/>
      <c r="AH1341" s="75"/>
    </row>
    <row r="1342" spans="1:37" ht="125.25" hidden="1" customHeight="1" x14ac:dyDescent="0.3">
      <c r="A1342" s="138" t="s">
        <v>575</v>
      </c>
      <c r="B1342" s="11">
        <v>936</v>
      </c>
      <c r="C1342" s="12" t="s">
        <v>130</v>
      </c>
      <c r="D1342" s="12" t="s">
        <v>115</v>
      </c>
      <c r="E1342" s="13" t="s">
        <v>605</v>
      </c>
      <c r="F1342" s="13" t="s">
        <v>50</v>
      </c>
      <c r="G1342" s="53">
        <f>G1343</f>
        <v>0</v>
      </c>
      <c r="H1342" s="111"/>
      <c r="I1342" s="112"/>
      <c r="J1342" s="111"/>
      <c r="K1342" s="76"/>
      <c r="L1342" s="75"/>
      <c r="M1342" s="75"/>
      <c r="N1342" s="85"/>
      <c r="AG1342" s="75"/>
      <c r="AH1342" s="75"/>
    </row>
    <row r="1343" spans="1:37" ht="36.75" hidden="1" customHeight="1" x14ac:dyDescent="0.3">
      <c r="A1343" s="138" t="s">
        <v>264</v>
      </c>
      <c r="B1343" s="11">
        <v>936</v>
      </c>
      <c r="C1343" s="12" t="s">
        <v>130</v>
      </c>
      <c r="D1343" s="12" t="s">
        <v>115</v>
      </c>
      <c r="E1343" s="13" t="s">
        <v>605</v>
      </c>
      <c r="F1343" s="13" t="s">
        <v>261</v>
      </c>
      <c r="G1343" s="53">
        <v>0</v>
      </c>
      <c r="H1343" s="111"/>
      <c r="I1343" s="112"/>
      <c r="J1343" s="111"/>
      <c r="K1343" s="76"/>
      <c r="L1343" s="75"/>
      <c r="M1343" s="75">
        <v>261</v>
      </c>
      <c r="N1343" s="85"/>
      <c r="AG1343" s="75"/>
      <c r="AH1343" s="75"/>
      <c r="AK1343" s="75">
        <v>0</v>
      </c>
    </row>
    <row r="1344" spans="1:37" ht="36.75" hidden="1" customHeight="1" x14ac:dyDescent="0.3">
      <c r="A1344" s="138" t="s">
        <v>697</v>
      </c>
      <c r="B1344" s="29" t="s">
        <v>285</v>
      </c>
      <c r="C1344" s="29" t="s">
        <v>130</v>
      </c>
      <c r="D1344" s="28" t="s">
        <v>115</v>
      </c>
      <c r="E1344" s="13" t="s">
        <v>557</v>
      </c>
      <c r="F1344" s="13" t="s">
        <v>50</v>
      </c>
      <c r="G1344" s="53">
        <f>G1348+G1345</f>
        <v>0</v>
      </c>
      <c r="H1344" s="111"/>
      <c r="I1344" s="112"/>
      <c r="J1344" s="111"/>
      <c r="K1344" s="76"/>
      <c r="L1344" s="75"/>
      <c r="M1344" s="75"/>
      <c r="N1344" s="85"/>
      <c r="AG1344" s="75"/>
      <c r="AH1344" s="75"/>
    </row>
    <row r="1345" spans="1:43" ht="36.75" hidden="1" customHeight="1" x14ac:dyDescent="0.3">
      <c r="A1345" s="138" t="s">
        <v>556</v>
      </c>
      <c r="B1345" s="29" t="s">
        <v>285</v>
      </c>
      <c r="C1345" s="29" t="s">
        <v>130</v>
      </c>
      <c r="D1345" s="28" t="s">
        <v>115</v>
      </c>
      <c r="E1345" s="13" t="s">
        <v>701</v>
      </c>
      <c r="F1345" s="13" t="s">
        <v>50</v>
      </c>
      <c r="G1345" s="53">
        <f>G1346</f>
        <v>0</v>
      </c>
      <c r="H1345" s="111"/>
      <c r="I1345" s="112"/>
      <c r="J1345" s="111"/>
      <c r="K1345" s="76"/>
      <c r="L1345" s="75"/>
      <c r="M1345" s="75"/>
      <c r="N1345" s="85"/>
      <c r="AG1345" s="75"/>
      <c r="AH1345" s="75"/>
    </row>
    <row r="1346" spans="1:43" ht="36.75" hidden="1" customHeight="1" x14ac:dyDescent="0.3">
      <c r="A1346" s="138" t="s">
        <v>703</v>
      </c>
      <c r="B1346" s="29" t="s">
        <v>285</v>
      </c>
      <c r="C1346" s="29" t="s">
        <v>130</v>
      </c>
      <c r="D1346" s="28" t="s">
        <v>115</v>
      </c>
      <c r="E1346" s="13" t="s">
        <v>702</v>
      </c>
      <c r="F1346" s="13" t="s">
        <v>50</v>
      </c>
      <c r="G1346" s="53">
        <f>G1347</f>
        <v>0</v>
      </c>
      <c r="H1346" s="111"/>
      <c r="I1346" s="112"/>
      <c r="J1346" s="111"/>
      <c r="K1346" s="76"/>
      <c r="L1346" s="75"/>
      <c r="M1346" s="75"/>
      <c r="N1346" s="85"/>
      <c r="AG1346" s="75"/>
      <c r="AH1346" s="75"/>
    </row>
    <row r="1347" spans="1:43" ht="36.75" hidden="1" customHeight="1" x14ac:dyDescent="0.3">
      <c r="A1347" s="138" t="s">
        <v>264</v>
      </c>
      <c r="B1347" s="29" t="s">
        <v>285</v>
      </c>
      <c r="C1347" s="29" t="s">
        <v>130</v>
      </c>
      <c r="D1347" s="28" t="s">
        <v>115</v>
      </c>
      <c r="E1347" s="13" t="s">
        <v>702</v>
      </c>
      <c r="F1347" s="13" t="s">
        <v>261</v>
      </c>
      <c r="G1347" s="53">
        <v>0</v>
      </c>
      <c r="H1347" s="111"/>
      <c r="I1347" s="112"/>
      <c r="J1347" s="111"/>
      <c r="K1347" s="76"/>
      <c r="L1347" s="75"/>
      <c r="M1347" s="75"/>
      <c r="N1347" s="85"/>
      <c r="AG1347" s="75"/>
      <c r="AH1347" s="75"/>
      <c r="AN1347" s="145">
        <v>23.6</v>
      </c>
      <c r="AO1347" s="145">
        <v>2328</v>
      </c>
    </row>
    <row r="1348" spans="1:43" ht="33" hidden="1" customHeight="1" x14ac:dyDescent="0.3">
      <c r="A1348" s="138" t="s">
        <v>698</v>
      </c>
      <c r="B1348" s="29" t="s">
        <v>285</v>
      </c>
      <c r="C1348" s="29" t="s">
        <v>130</v>
      </c>
      <c r="D1348" s="28" t="s">
        <v>115</v>
      </c>
      <c r="E1348" s="13" t="s">
        <v>696</v>
      </c>
      <c r="F1348" s="13" t="s">
        <v>50</v>
      </c>
      <c r="G1348" s="53">
        <f>G1349</f>
        <v>0</v>
      </c>
      <c r="H1348" s="111"/>
      <c r="I1348" s="112"/>
      <c r="J1348" s="111"/>
      <c r="K1348" s="76"/>
      <c r="L1348" s="75"/>
      <c r="M1348" s="75"/>
      <c r="N1348" s="85"/>
      <c r="AG1348" s="75"/>
      <c r="AH1348" s="75"/>
    </row>
    <row r="1349" spans="1:43" ht="36.75" hidden="1" customHeight="1" x14ac:dyDescent="0.3">
      <c r="A1349" s="168" t="s">
        <v>699</v>
      </c>
      <c r="B1349" s="29" t="s">
        <v>285</v>
      </c>
      <c r="C1349" s="29" t="s">
        <v>130</v>
      </c>
      <c r="D1349" s="28" t="s">
        <v>115</v>
      </c>
      <c r="E1349" s="13" t="s">
        <v>700</v>
      </c>
      <c r="F1349" s="13" t="s">
        <v>50</v>
      </c>
      <c r="G1349" s="53">
        <f>G1350</f>
        <v>0</v>
      </c>
      <c r="H1349" s="111"/>
      <c r="I1349" s="112"/>
      <c r="J1349" s="111"/>
      <c r="K1349" s="76"/>
      <c r="L1349" s="75"/>
      <c r="M1349" s="75"/>
      <c r="N1349" s="85"/>
      <c r="AG1349" s="75"/>
      <c r="AH1349" s="75"/>
    </row>
    <row r="1350" spans="1:43" ht="36.75" hidden="1" customHeight="1" x14ac:dyDescent="0.3">
      <c r="A1350" s="138" t="s">
        <v>264</v>
      </c>
      <c r="B1350" s="29" t="s">
        <v>285</v>
      </c>
      <c r="C1350" s="29" t="s">
        <v>130</v>
      </c>
      <c r="D1350" s="28" t="s">
        <v>115</v>
      </c>
      <c r="E1350" s="13" t="s">
        <v>700</v>
      </c>
      <c r="F1350" s="13" t="s">
        <v>261</v>
      </c>
      <c r="G1350" s="53">
        <v>0</v>
      </c>
      <c r="H1350" s="111"/>
      <c r="I1350" s="112"/>
      <c r="J1350" s="111"/>
      <c r="K1350" s="76"/>
      <c r="L1350" s="75"/>
      <c r="M1350" s="75"/>
      <c r="N1350" s="85"/>
      <c r="AG1350" s="75"/>
      <c r="AH1350" s="75"/>
      <c r="AO1350" s="145">
        <v>1000</v>
      </c>
    </row>
    <row r="1351" spans="1:43" ht="36.75" hidden="1" customHeight="1" x14ac:dyDescent="0.3">
      <c r="A1351" s="151" t="s">
        <v>161</v>
      </c>
      <c r="B1351" s="29" t="s">
        <v>285</v>
      </c>
      <c r="C1351" s="29" t="s">
        <v>130</v>
      </c>
      <c r="D1351" s="28" t="s">
        <v>115</v>
      </c>
      <c r="E1351" s="13" t="s">
        <v>99</v>
      </c>
      <c r="F1351" s="29" t="s">
        <v>50</v>
      </c>
      <c r="G1351" s="53">
        <f>G1352</f>
        <v>0</v>
      </c>
      <c r="H1351" s="111"/>
      <c r="I1351" s="112"/>
      <c r="J1351" s="111"/>
      <c r="K1351" s="76"/>
      <c r="L1351" s="75"/>
      <c r="M1351" s="75"/>
      <c r="N1351" s="85"/>
      <c r="AG1351" s="75"/>
      <c r="AH1351" s="75"/>
    </row>
    <row r="1352" spans="1:43" ht="36.75" hidden="1" customHeight="1" x14ac:dyDescent="0.3">
      <c r="A1352" s="151" t="s">
        <v>11</v>
      </c>
      <c r="B1352" s="11">
        <v>936</v>
      </c>
      <c r="C1352" s="12" t="s">
        <v>130</v>
      </c>
      <c r="D1352" s="12" t="s">
        <v>115</v>
      </c>
      <c r="E1352" s="13" t="s">
        <v>29</v>
      </c>
      <c r="F1352" s="12" t="s">
        <v>50</v>
      </c>
      <c r="G1352" s="53">
        <f>G1353+G1358+G1356+G1361</f>
        <v>0</v>
      </c>
      <c r="H1352" s="111"/>
      <c r="I1352" s="112"/>
      <c r="J1352" s="111"/>
      <c r="K1352" s="76"/>
      <c r="L1352" s="75"/>
      <c r="M1352" s="75"/>
      <c r="N1352" s="85"/>
      <c r="AG1352" s="75"/>
      <c r="AH1352" s="75"/>
    </row>
    <row r="1353" spans="1:43" ht="36.75" hidden="1" customHeight="1" x14ac:dyDescent="0.3">
      <c r="A1353" s="138" t="s">
        <v>249</v>
      </c>
      <c r="B1353" s="11">
        <v>936</v>
      </c>
      <c r="C1353" s="12" t="s">
        <v>130</v>
      </c>
      <c r="D1353" s="12" t="s">
        <v>115</v>
      </c>
      <c r="E1353" s="12" t="s">
        <v>254</v>
      </c>
      <c r="F1353" s="12" t="s">
        <v>50</v>
      </c>
      <c r="G1353" s="53">
        <f>G1354</f>
        <v>0</v>
      </c>
      <c r="H1353" s="111"/>
      <c r="I1353" s="112"/>
      <c r="J1353" s="111"/>
      <c r="K1353" s="76"/>
      <c r="L1353" s="75"/>
      <c r="M1353" s="75"/>
      <c r="N1353" s="85"/>
      <c r="AG1353" s="75"/>
      <c r="AH1353" s="75"/>
    </row>
    <row r="1354" spans="1:43" ht="141" hidden="1" customHeight="1" x14ac:dyDescent="0.3">
      <c r="A1354" s="138" t="s">
        <v>711</v>
      </c>
      <c r="B1354" s="11">
        <v>936</v>
      </c>
      <c r="C1354" s="12" t="s">
        <v>130</v>
      </c>
      <c r="D1354" s="12" t="s">
        <v>115</v>
      </c>
      <c r="E1354" s="13" t="s">
        <v>710</v>
      </c>
      <c r="F1354" s="13" t="s">
        <v>50</v>
      </c>
      <c r="G1354" s="53">
        <f>G1355</f>
        <v>0</v>
      </c>
      <c r="H1354" s="111"/>
      <c r="I1354" s="112"/>
      <c r="J1354" s="111"/>
      <c r="K1354" s="76"/>
      <c r="L1354" s="75"/>
      <c r="M1354" s="75"/>
      <c r="N1354" s="85"/>
      <c r="AG1354" s="75"/>
      <c r="AH1354" s="75"/>
    </row>
    <row r="1355" spans="1:43" ht="49.5" hidden="1" customHeight="1" x14ac:dyDescent="0.3">
      <c r="A1355" s="138" t="s">
        <v>264</v>
      </c>
      <c r="B1355" s="11">
        <v>936</v>
      </c>
      <c r="C1355" s="12" t="s">
        <v>130</v>
      </c>
      <c r="D1355" s="12" t="s">
        <v>115</v>
      </c>
      <c r="E1355" s="13" t="s">
        <v>710</v>
      </c>
      <c r="F1355" s="13" t="s">
        <v>261</v>
      </c>
      <c r="G1355" s="53">
        <v>0</v>
      </c>
      <c r="H1355" s="111"/>
      <c r="I1355" s="112"/>
      <c r="J1355" s="111"/>
      <c r="K1355" s="76"/>
      <c r="L1355" s="75"/>
      <c r="M1355" s="75"/>
      <c r="N1355" s="85"/>
      <c r="AG1355" s="75"/>
      <c r="AH1355" s="75"/>
      <c r="AP1355" s="146">
        <v>1500</v>
      </c>
    </row>
    <row r="1356" spans="1:43" ht="150.75" hidden="1" customHeight="1" x14ac:dyDescent="0.3">
      <c r="A1356" s="138" t="s">
        <v>711</v>
      </c>
      <c r="B1356" s="11">
        <v>936</v>
      </c>
      <c r="C1356" s="12" t="s">
        <v>130</v>
      </c>
      <c r="D1356" s="12" t="s">
        <v>115</v>
      </c>
      <c r="E1356" s="13" t="s">
        <v>728</v>
      </c>
      <c r="F1356" s="13" t="s">
        <v>50</v>
      </c>
      <c r="G1356" s="53">
        <f>G1357</f>
        <v>0</v>
      </c>
      <c r="H1356" s="111"/>
      <c r="I1356" s="112"/>
      <c r="J1356" s="111"/>
      <c r="K1356" s="76"/>
      <c r="L1356" s="75"/>
      <c r="M1356" s="75"/>
      <c r="N1356" s="85"/>
      <c r="AG1356" s="75"/>
      <c r="AH1356" s="75"/>
    </row>
    <row r="1357" spans="1:43" ht="49.5" hidden="1" customHeight="1" x14ac:dyDescent="0.3">
      <c r="A1357" s="138" t="s">
        <v>264</v>
      </c>
      <c r="B1357" s="11">
        <v>936</v>
      </c>
      <c r="C1357" s="12" t="s">
        <v>130</v>
      </c>
      <c r="D1357" s="12" t="s">
        <v>115</v>
      </c>
      <c r="E1357" s="13" t="s">
        <v>728</v>
      </c>
      <c r="F1357" s="13" t="s">
        <v>261</v>
      </c>
      <c r="G1357" s="53">
        <v>0</v>
      </c>
      <c r="H1357" s="111"/>
      <c r="I1357" s="112"/>
      <c r="J1357" s="111"/>
      <c r="K1357" s="76"/>
      <c r="L1357" s="75"/>
      <c r="M1357" s="75"/>
      <c r="N1357" s="85"/>
      <c r="AG1357" s="75"/>
      <c r="AH1357" s="75"/>
      <c r="AQ1357" s="146">
        <v>180.85499999999999</v>
      </c>
    </row>
    <row r="1358" spans="1:43" ht="45" hidden="1" customHeight="1" x14ac:dyDescent="0.3">
      <c r="A1358" s="138" t="s">
        <v>64</v>
      </c>
      <c r="B1358" s="11">
        <v>936</v>
      </c>
      <c r="C1358" s="12" t="s">
        <v>130</v>
      </c>
      <c r="D1358" s="12" t="s">
        <v>115</v>
      </c>
      <c r="E1358" s="42" t="s">
        <v>252</v>
      </c>
      <c r="F1358" s="42" t="s">
        <v>50</v>
      </c>
      <c r="G1358" s="53">
        <f>G1359</f>
        <v>0</v>
      </c>
      <c r="H1358" s="111"/>
      <c r="I1358" s="112"/>
      <c r="J1358" s="111"/>
      <c r="K1358" s="76"/>
      <c r="L1358" s="75"/>
      <c r="M1358" s="75"/>
      <c r="N1358" s="85"/>
      <c r="AG1358" s="75"/>
      <c r="AH1358" s="75"/>
    </row>
    <row r="1359" spans="1:43" ht="123.75" hidden="1" customHeight="1" x14ac:dyDescent="0.3">
      <c r="A1359" s="138" t="s">
        <v>724</v>
      </c>
      <c r="B1359" s="11">
        <v>936</v>
      </c>
      <c r="C1359" s="12" t="s">
        <v>130</v>
      </c>
      <c r="D1359" s="12" t="s">
        <v>115</v>
      </c>
      <c r="E1359" s="42" t="s">
        <v>723</v>
      </c>
      <c r="F1359" s="13" t="s">
        <v>50</v>
      </c>
      <c r="G1359" s="53">
        <f>G1360</f>
        <v>0</v>
      </c>
      <c r="H1359" s="111"/>
      <c r="I1359" s="112"/>
      <c r="J1359" s="111"/>
      <c r="K1359" s="76"/>
      <c r="L1359" s="75"/>
      <c r="M1359" s="75"/>
      <c r="N1359" s="85"/>
      <c r="AG1359" s="75"/>
      <c r="AH1359" s="75"/>
    </row>
    <row r="1360" spans="1:43" ht="49.5" hidden="1" customHeight="1" x14ac:dyDescent="0.3">
      <c r="A1360" s="138" t="s">
        <v>264</v>
      </c>
      <c r="B1360" s="11">
        <v>936</v>
      </c>
      <c r="C1360" s="12" t="s">
        <v>130</v>
      </c>
      <c r="D1360" s="12" t="s">
        <v>115</v>
      </c>
      <c r="E1360" s="42" t="s">
        <v>723</v>
      </c>
      <c r="F1360" s="13" t="s">
        <v>261</v>
      </c>
      <c r="G1360" s="53">
        <v>0</v>
      </c>
      <c r="H1360" s="111"/>
      <c r="I1360" s="112"/>
      <c r="J1360" s="111"/>
      <c r="K1360" s="76"/>
      <c r="L1360" s="75"/>
      <c r="M1360" s="75"/>
      <c r="N1360" s="85"/>
      <c r="AG1360" s="75"/>
      <c r="AH1360" s="75"/>
      <c r="AQ1360" s="146">
        <v>260</v>
      </c>
    </row>
    <row r="1361" spans="1:72" ht="87" hidden="1" customHeight="1" x14ac:dyDescent="0.3">
      <c r="A1361" s="138" t="s">
        <v>730</v>
      </c>
      <c r="B1361" s="11">
        <v>936</v>
      </c>
      <c r="C1361" s="12" t="s">
        <v>130</v>
      </c>
      <c r="D1361" s="12" t="s">
        <v>115</v>
      </c>
      <c r="E1361" s="42" t="s">
        <v>731</v>
      </c>
      <c r="F1361" s="12" t="s">
        <v>50</v>
      </c>
      <c r="G1361" s="53">
        <f>G1362</f>
        <v>0</v>
      </c>
      <c r="H1361" s="111"/>
      <c r="I1361" s="112"/>
      <c r="J1361" s="111"/>
      <c r="K1361" s="76"/>
      <c r="L1361" s="75"/>
      <c r="M1361" s="75"/>
      <c r="N1361" s="85"/>
      <c r="AG1361" s="75"/>
      <c r="AH1361" s="75"/>
    </row>
    <row r="1362" spans="1:72" ht="159" hidden="1" customHeight="1" x14ac:dyDescent="0.3">
      <c r="A1362" s="138" t="s">
        <v>739</v>
      </c>
      <c r="B1362" s="11">
        <v>936</v>
      </c>
      <c r="C1362" s="12" t="s">
        <v>130</v>
      </c>
      <c r="D1362" s="12" t="s">
        <v>115</v>
      </c>
      <c r="E1362" s="42" t="s">
        <v>740</v>
      </c>
      <c r="F1362" s="12" t="s">
        <v>50</v>
      </c>
      <c r="G1362" s="53">
        <f>G1363</f>
        <v>0</v>
      </c>
      <c r="H1362" s="111"/>
      <c r="I1362" s="112"/>
      <c r="J1362" s="111"/>
      <c r="K1362" s="76"/>
      <c r="L1362" s="75"/>
      <c r="M1362" s="75"/>
      <c r="N1362" s="85"/>
      <c r="AG1362" s="75"/>
      <c r="AH1362" s="75"/>
    </row>
    <row r="1363" spans="1:72" ht="49.5" hidden="1" customHeight="1" x14ac:dyDescent="0.3">
      <c r="A1363" s="138" t="s">
        <v>425</v>
      </c>
      <c r="B1363" s="11">
        <v>936</v>
      </c>
      <c r="C1363" s="12" t="s">
        <v>130</v>
      </c>
      <c r="D1363" s="12" t="s">
        <v>115</v>
      </c>
      <c r="E1363" s="42" t="s">
        <v>740</v>
      </c>
      <c r="F1363" s="42" t="s">
        <v>59</v>
      </c>
      <c r="G1363" s="53">
        <v>0</v>
      </c>
      <c r="H1363" s="111"/>
      <c r="I1363" s="112"/>
      <c r="J1363" s="111"/>
      <c r="K1363" s="76"/>
      <c r="L1363" s="75"/>
      <c r="M1363" s="75"/>
      <c r="N1363" s="85"/>
      <c r="AG1363" s="75"/>
      <c r="AH1363" s="75"/>
      <c r="AQ1363" s="146">
        <v>43.688000000000002</v>
      </c>
    </row>
    <row r="1364" spans="1:72" ht="58.5" hidden="1" customHeight="1" x14ac:dyDescent="0.3">
      <c r="A1364" s="150" t="s">
        <v>131</v>
      </c>
      <c r="B1364" s="10">
        <v>905</v>
      </c>
      <c r="C1364" s="17" t="s">
        <v>130</v>
      </c>
      <c r="D1364" s="17" t="s">
        <v>121</v>
      </c>
      <c r="E1364" s="10" t="s">
        <v>49</v>
      </c>
      <c r="F1364" s="7" t="s">
        <v>50</v>
      </c>
      <c r="G1364" s="64">
        <f>G1365</f>
        <v>0</v>
      </c>
      <c r="H1364" s="111"/>
      <c r="I1364" s="112"/>
      <c r="J1364" s="111"/>
      <c r="K1364" s="76"/>
      <c r="L1364" s="75"/>
      <c r="M1364" s="75"/>
      <c r="N1364" s="85"/>
      <c r="AG1364" s="75"/>
      <c r="AH1364" s="75"/>
    </row>
    <row r="1365" spans="1:72" ht="27" hidden="1" customHeight="1" x14ac:dyDescent="0.3">
      <c r="A1365" s="138" t="s">
        <v>409</v>
      </c>
      <c r="B1365" s="11">
        <v>936</v>
      </c>
      <c r="C1365" s="6" t="s">
        <v>130</v>
      </c>
      <c r="D1365" s="6" t="s">
        <v>121</v>
      </c>
      <c r="E1365" s="12" t="s">
        <v>90</v>
      </c>
      <c r="F1365" s="12" t="s">
        <v>50</v>
      </c>
      <c r="G1365" s="53">
        <f>G1366</f>
        <v>0</v>
      </c>
      <c r="H1365" s="111"/>
      <c r="I1365" s="112"/>
      <c r="J1365" s="111"/>
      <c r="K1365" s="76"/>
      <c r="L1365" s="75"/>
      <c r="M1365" s="75"/>
      <c r="N1365" s="85"/>
      <c r="AG1365" s="75"/>
      <c r="AH1365" s="75"/>
    </row>
    <row r="1366" spans="1:72" ht="27.75" hidden="1" customHeight="1" x14ac:dyDescent="0.3">
      <c r="A1366" s="138" t="s">
        <v>211</v>
      </c>
      <c r="B1366" s="11">
        <v>936</v>
      </c>
      <c r="C1366" s="6" t="s">
        <v>130</v>
      </c>
      <c r="D1366" s="6" t="s">
        <v>121</v>
      </c>
      <c r="E1366" s="13" t="s">
        <v>498</v>
      </c>
      <c r="F1366" s="13" t="s">
        <v>50</v>
      </c>
      <c r="G1366" s="53">
        <f>G1367</f>
        <v>0</v>
      </c>
      <c r="H1366" s="111"/>
      <c r="I1366" s="112"/>
      <c r="J1366" s="111"/>
      <c r="K1366" s="76"/>
      <c r="L1366" s="75"/>
      <c r="M1366" s="75"/>
      <c r="N1366" s="85"/>
      <c r="AG1366" s="75"/>
      <c r="AH1366" s="75"/>
    </row>
    <row r="1367" spans="1:72" ht="36.75" hidden="1" customHeight="1" x14ac:dyDescent="0.3">
      <c r="A1367" s="138" t="s">
        <v>425</v>
      </c>
      <c r="B1367" s="11">
        <v>936</v>
      </c>
      <c r="C1367" s="6" t="s">
        <v>130</v>
      </c>
      <c r="D1367" s="6" t="s">
        <v>121</v>
      </c>
      <c r="E1367" s="13" t="s">
        <v>498</v>
      </c>
      <c r="F1367" s="13" t="s">
        <v>59</v>
      </c>
      <c r="G1367" s="53">
        <f>AN1367-300</f>
        <v>0</v>
      </c>
      <c r="H1367" s="111"/>
      <c r="I1367" s="112"/>
      <c r="J1367" s="111"/>
      <c r="K1367" s="76"/>
      <c r="L1367" s="75"/>
      <c r="M1367" s="75"/>
      <c r="N1367" s="85"/>
      <c r="AG1367" s="75"/>
      <c r="AH1367" s="75"/>
      <c r="AN1367" s="145">
        <v>300</v>
      </c>
    </row>
    <row r="1368" spans="1:72" ht="36.75" hidden="1" customHeight="1" x14ac:dyDescent="0.3">
      <c r="A1368" s="203" t="s">
        <v>345</v>
      </c>
      <c r="B1368" s="147">
        <v>936</v>
      </c>
      <c r="C1368" s="148" t="s">
        <v>128</v>
      </c>
      <c r="D1368" s="148" t="s">
        <v>112</v>
      </c>
      <c r="E1368" s="149" t="s">
        <v>49</v>
      </c>
      <c r="F1368" s="148" t="s">
        <v>50</v>
      </c>
      <c r="G1368" s="64">
        <f t="shared" ref="G1368:G1373" si="2">G1369</f>
        <v>0</v>
      </c>
      <c r="H1368" s="111"/>
      <c r="I1368" s="112"/>
      <c r="J1368" s="111"/>
      <c r="K1368" s="76"/>
      <c r="L1368" s="75"/>
      <c r="M1368" s="75"/>
      <c r="N1368" s="85"/>
      <c r="AG1368" s="75"/>
      <c r="AH1368" s="75"/>
    </row>
    <row r="1369" spans="1:72" ht="36.75" hidden="1" customHeight="1" x14ac:dyDescent="0.3">
      <c r="A1369" s="150" t="s">
        <v>716</v>
      </c>
      <c r="B1369" s="147">
        <v>936</v>
      </c>
      <c r="C1369" s="148" t="s">
        <v>128</v>
      </c>
      <c r="D1369" s="148" t="s">
        <v>115</v>
      </c>
      <c r="E1369" s="149" t="s">
        <v>49</v>
      </c>
      <c r="F1369" s="148" t="s">
        <v>50</v>
      </c>
      <c r="G1369" s="64">
        <f t="shared" si="2"/>
        <v>0</v>
      </c>
      <c r="H1369" s="111"/>
      <c r="I1369" s="112"/>
      <c r="J1369" s="111"/>
      <c r="K1369" s="76"/>
      <c r="L1369" s="75"/>
      <c r="M1369" s="75"/>
      <c r="N1369" s="85"/>
      <c r="AG1369" s="75"/>
      <c r="AH1369" s="75"/>
    </row>
    <row r="1370" spans="1:72" ht="36.75" hidden="1" customHeight="1" x14ac:dyDescent="0.3">
      <c r="A1370" s="151" t="s">
        <v>161</v>
      </c>
      <c r="B1370" s="139">
        <v>936</v>
      </c>
      <c r="C1370" s="106" t="s">
        <v>128</v>
      </c>
      <c r="D1370" s="106" t="s">
        <v>115</v>
      </c>
      <c r="E1370" s="152" t="s">
        <v>99</v>
      </c>
      <c r="F1370" s="153" t="s">
        <v>50</v>
      </c>
      <c r="G1370" s="53">
        <f t="shared" si="2"/>
        <v>0</v>
      </c>
      <c r="H1370" s="111"/>
      <c r="I1370" s="112"/>
      <c r="J1370" s="111"/>
      <c r="K1370" s="76"/>
      <c r="L1370" s="75"/>
      <c r="M1370" s="75"/>
      <c r="N1370" s="85"/>
      <c r="AG1370" s="75"/>
      <c r="AH1370" s="75"/>
    </row>
    <row r="1371" spans="1:72" ht="36.75" hidden="1" customHeight="1" x14ac:dyDescent="0.3">
      <c r="A1371" s="151" t="s">
        <v>9</v>
      </c>
      <c r="B1371" s="139">
        <v>936</v>
      </c>
      <c r="C1371" s="106" t="s">
        <v>128</v>
      </c>
      <c r="D1371" s="106" t="s">
        <v>115</v>
      </c>
      <c r="E1371" s="152" t="s">
        <v>101</v>
      </c>
      <c r="F1371" s="106" t="s">
        <v>50</v>
      </c>
      <c r="G1371" s="53">
        <f t="shared" si="2"/>
        <v>0</v>
      </c>
      <c r="H1371" s="111"/>
      <c r="I1371" s="112"/>
      <c r="J1371" s="111"/>
      <c r="K1371" s="76"/>
      <c r="L1371" s="75"/>
      <c r="M1371" s="75"/>
      <c r="N1371" s="85"/>
      <c r="AG1371" s="75"/>
      <c r="AH1371" s="75"/>
    </row>
    <row r="1372" spans="1:72" ht="36.75" hidden="1" customHeight="1" x14ac:dyDescent="0.3">
      <c r="A1372" s="177" t="s">
        <v>68</v>
      </c>
      <c r="B1372" s="139">
        <v>936</v>
      </c>
      <c r="C1372" s="106" t="s">
        <v>128</v>
      </c>
      <c r="D1372" s="106" t="s">
        <v>115</v>
      </c>
      <c r="E1372" s="152" t="s">
        <v>774</v>
      </c>
      <c r="F1372" s="106" t="s">
        <v>50</v>
      </c>
      <c r="G1372" s="53">
        <f t="shared" si="2"/>
        <v>0</v>
      </c>
      <c r="H1372" s="111"/>
      <c r="I1372" s="112"/>
      <c r="J1372" s="111"/>
      <c r="K1372" s="76"/>
      <c r="L1372" s="75"/>
      <c r="M1372" s="75"/>
      <c r="N1372" s="85"/>
      <c r="AG1372" s="75"/>
      <c r="AH1372" s="75"/>
    </row>
    <row r="1373" spans="1:72" ht="31.5" hidden="1" customHeight="1" x14ac:dyDescent="0.3">
      <c r="A1373" s="177" t="s">
        <v>717</v>
      </c>
      <c r="B1373" s="139">
        <v>936</v>
      </c>
      <c r="C1373" s="106" t="s">
        <v>128</v>
      </c>
      <c r="D1373" s="106" t="s">
        <v>115</v>
      </c>
      <c r="E1373" s="152" t="s">
        <v>775</v>
      </c>
      <c r="F1373" s="106" t="s">
        <v>50</v>
      </c>
      <c r="G1373" s="53">
        <f t="shared" si="2"/>
        <v>0</v>
      </c>
      <c r="H1373" s="111"/>
      <c r="I1373" s="112"/>
      <c r="J1373" s="111"/>
      <c r="K1373" s="76"/>
      <c r="L1373" s="75"/>
      <c r="M1373" s="75"/>
      <c r="N1373" s="85"/>
      <c r="AG1373" s="75"/>
      <c r="AH1373" s="75"/>
    </row>
    <row r="1374" spans="1:72" ht="36.75" hidden="1" customHeight="1" x14ac:dyDescent="0.3">
      <c r="A1374" s="138" t="s">
        <v>290</v>
      </c>
      <c r="B1374" s="139">
        <v>936</v>
      </c>
      <c r="C1374" s="106" t="s">
        <v>128</v>
      </c>
      <c r="D1374" s="106" t="s">
        <v>115</v>
      </c>
      <c r="E1374" s="152" t="s">
        <v>775</v>
      </c>
      <c r="F1374" s="106" t="s">
        <v>291</v>
      </c>
      <c r="G1374" s="53">
        <f>AP1374+BD1374</f>
        <v>0</v>
      </c>
      <c r="H1374" s="111"/>
      <c r="I1374" s="112"/>
      <c r="J1374" s="111"/>
      <c r="K1374" s="76"/>
      <c r="L1374" s="75"/>
      <c r="M1374" s="75"/>
      <c r="N1374" s="85"/>
      <c r="AG1374" s="75"/>
      <c r="AH1374" s="75"/>
      <c r="AP1374" s="146">
        <v>8162.9</v>
      </c>
      <c r="BD1374" s="218">
        <v>-8162.9</v>
      </c>
    </row>
    <row r="1375" spans="1:72" ht="36.75" hidden="1" customHeight="1" x14ac:dyDescent="0.3">
      <c r="A1375" s="138" t="s">
        <v>816</v>
      </c>
      <c r="B1375" s="11">
        <v>936</v>
      </c>
      <c r="C1375" s="6" t="s">
        <v>130</v>
      </c>
      <c r="D1375" s="6" t="s">
        <v>115</v>
      </c>
      <c r="E1375" s="152" t="s">
        <v>945</v>
      </c>
      <c r="F1375" s="106" t="s">
        <v>50</v>
      </c>
      <c r="G1375" s="53">
        <f>G1376</f>
        <v>0</v>
      </c>
      <c r="H1375" s="111"/>
      <c r="I1375" s="112"/>
      <c r="J1375" s="111"/>
      <c r="K1375" s="76"/>
      <c r="L1375" s="75"/>
      <c r="M1375" s="75"/>
      <c r="N1375" s="85"/>
      <c r="AG1375" s="75"/>
      <c r="AH1375" s="75"/>
    </row>
    <row r="1376" spans="1:72" ht="36.75" hidden="1" customHeight="1" x14ac:dyDescent="0.3">
      <c r="A1376" s="138" t="s">
        <v>264</v>
      </c>
      <c r="B1376" s="11">
        <v>936</v>
      </c>
      <c r="C1376" s="6" t="s">
        <v>130</v>
      </c>
      <c r="D1376" s="6" t="s">
        <v>115</v>
      </c>
      <c r="E1376" s="152" t="s">
        <v>945</v>
      </c>
      <c r="F1376" s="12" t="s">
        <v>261</v>
      </c>
      <c r="G1376" s="53">
        <v>0</v>
      </c>
      <c r="H1376" s="111"/>
      <c r="I1376" s="112"/>
      <c r="J1376" s="111"/>
      <c r="K1376" s="76"/>
      <c r="L1376" s="75"/>
      <c r="M1376" s="75"/>
      <c r="N1376" s="85"/>
      <c r="AG1376" s="75"/>
      <c r="AH1376" s="75"/>
      <c r="BT1376" s="146">
        <v>1034.8</v>
      </c>
    </row>
    <row r="1377" spans="1:118" ht="36.75" hidden="1" customHeight="1" x14ac:dyDescent="0.3">
      <c r="A1377" s="138" t="s">
        <v>816</v>
      </c>
      <c r="B1377" s="11">
        <v>936</v>
      </c>
      <c r="C1377" s="6" t="s">
        <v>130</v>
      </c>
      <c r="D1377" s="6" t="s">
        <v>115</v>
      </c>
      <c r="E1377" s="152" t="s">
        <v>945</v>
      </c>
      <c r="F1377" s="106" t="s">
        <v>50</v>
      </c>
      <c r="G1377" s="53">
        <f>G1378</f>
        <v>0</v>
      </c>
      <c r="H1377" s="111"/>
      <c r="I1377" s="112"/>
      <c r="J1377" s="111"/>
      <c r="K1377" s="76"/>
      <c r="L1377" s="75"/>
      <c r="M1377" s="75"/>
      <c r="N1377" s="85"/>
      <c r="AG1377" s="75"/>
      <c r="AH1377" s="75"/>
    </row>
    <row r="1378" spans="1:118" ht="36.75" hidden="1" customHeight="1" x14ac:dyDescent="0.3">
      <c r="A1378" s="138" t="s">
        <v>264</v>
      </c>
      <c r="B1378" s="11">
        <v>936</v>
      </c>
      <c r="C1378" s="6" t="s">
        <v>130</v>
      </c>
      <c r="D1378" s="6" t="s">
        <v>115</v>
      </c>
      <c r="E1378" s="152" t="s">
        <v>945</v>
      </c>
      <c r="F1378" s="12" t="s">
        <v>261</v>
      </c>
      <c r="G1378" s="53">
        <v>0</v>
      </c>
      <c r="H1378" s="111"/>
      <c r="I1378" s="112"/>
      <c r="J1378" s="111"/>
      <c r="K1378" s="76"/>
      <c r="L1378" s="75"/>
      <c r="M1378" s="75"/>
      <c r="N1378" s="85"/>
      <c r="AG1378" s="75"/>
      <c r="AH1378" s="75"/>
      <c r="BU1378" s="146">
        <v>10.5</v>
      </c>
    </row>
    <row r="1379" spans="1:118" ht="36.75" customHeight="1" x14ac:dyDescent="0.3">
      <c r="A1379" s="151" t="s">
        <v>11</v>
      </c>
      <c r="B1379" s="11">
        <v>936</v>
      </c>
      <c r="C1379" s="6" t="s">
        <v>130</v>
      </c>
      <c r="D1379" s="6" t="s">
        <v>115</v>
      </c>
      <c r="E1379" s="13" t="s">
        <v>29</v>
      </c>
      <c r="F1379" s="12" t="s">
        <v>50</v>
      </c>
      <c r="G1379" s="53">
        <f>G1380+G1387+G1393+G1389+G1395+G1391+G1397</f>
        <v>3306.6859999999997</v>
      </c>
      <c r="H1379" s="111"/>
      <c r="I1379" s="112"/>
      <c r="J1379" s="111"/>
      <c r="K1379" s="76"/>
      <c r="L1379" s="75"/>
      <c r="M1379" s="75"/>
      <c r="N1379" s="85"/>
      <c r="AG1379" s="75"/>
      <c r="AH1379" s="75"/>
    </row>
    <row r="1380" spans="1:118" ht="36.75" customHeight="1" x14ac:dyDescent="0.3">
      <c r="A1380" s="138" t="s">
        <v>249</v>
      </c>
      <c r="B1380" s="11">
        <v>936</v>
      </c>
      <c r="C1380" s="6" t="s">
        <v>130</v>
      </c>
      <c r="D1380" s="6" t="s">
        <v>115</v>
      </c>
      <c r="E1380" s="12" t="s">
        <v>824</v>
      </c>
      <c r="F1380" s="12" t="s">
        <v>50</v>
      </c>
      <c r="G1380" s="68">
        <f>G1381+G1383+G1385</f>
        <v>2398.1959999999999</v>
      </c>
      <c r="H1380" s="111"/>
      <c r="I1380" s="112"/>
      <c r="J1380" s="111"/>
      <c r="K1380" s="76"/>
      <c r="L1380" s="75"/>
      <c r="M1380" s="75"/>
      <c r="N1380" s="85"/>
      <c r="AG1380" s="75"/>
      <c r="AH1380" s="75"/>
    </row>
    <row r="1381" spans="1:118" ht="156" customHeight="1" x14ac:dyDescent="0.3">
      <c r="A1381" s="138" t="s">
        <v>1105</v>
      </c>
      <c r="B1381" s="11">
        <v>936</v>
      </c>
      <c r="C1381" s="6" t="s">
        <v>130</v>
      </c>
      <c r="D1381" s="6" t="s">
        <v>115</v>
      </c>
      <c r="E1381" s="12" t="s">
        <v>1004</v>
      </c>
      <c r="F1381" s="12" t="s">
        <v>50</v>
      </c>
      <c r="G1381" s="68">
        <f>G1382</f>
        <v>1468.1</v>
      </c>
      <c r="H1381" s="111"/>
      <c r="I1381" s="112"/>
      <c r="J1381" s="111"/>
      <c r="K1381" s="76"/>
      <c r="L1381" s="75"/>
      <c r="M1381" s="75"/>
      <c r="N1381" s="85"/>
      <c r="AG1381" s="75"/>
      <c r="AH1381" s="75"/>
    </row>
    <row r="1382" spans="1:118" ht="36.75" customHeight="1" x14ac:dyDescent="0.3">
      <c r="A1382" s="138" t="s">
        <v>264</v>
      </c>
      <c r="B1382" s="11">
        <v>936</v>
      </c>
      <c r="C1382" s="6" t="s">
        <v>130</v>
      </c>
      <c r="D1382" s="6" t="s">
        <v>115</v>
      </c>
      <c r="E1382" s="12" t="s">
        <v>1004</v>
      </c>
      <c r="F1382" s="12" t="s">
        <v>261</v>
      </c>
      <c r="G1382" s="68">
        <f>CT1382</f>
        <v>1468.1</v>
      </c>
      <c r="H1382" s="111"/>
      <c r="I1382" s="112"/>
      <c r="J1382" s="111"/>
      <c r="K1382" s="76"/>
      <c r="L1382" s="75"/>
      <c r="M1382" s="75"/>
      <c r="N1382" s="85"/>
      <c r="AG1382" s="75"/>
      <c r="AH1382" s="75"/>
      <c r="CT1382" s="250">
        <v>1468.1</v>
      </c>
    </row>
    <row r="1383" spans="1:118" ht="126.75" customHeight="1" x14ac:dyDescent="0.3">
      <c r="A1383" s="138" t="s">
        <v>1119</v>
      </c>
      <c r="B1383" s="11">
        <v>936</v>
      </c>
      <c r="C1383" s="6" t="s">
        <v>130</v>
      </c>
      <c r="D1383" s="6" t="s">
        <v>115</v>
      </c>
      <c r="E1383" s="12" t="s">
        <v>1005</v>
      </c>
      <c r="F1383" s="12" t="s">
        <v>50</v>
      </c>
      <c r="G1383" s="68">
        <f>G1384</f>
        <v>930.09600000000012</v>
      </c>
      <c r="H1383" s="111"/>
      <c r="I1383" s="112"/>
      <c r="J1383" s="111"/>
      <c r="K1383" s="76"/>
      <c r="L1383" s="75"/>
      <c r="M1383" s="75"/>
      <c r="N1383" s="85"/>
      <c r="AG1383" s="75"/>
      <c r="AH1383" s="75"/>
    </row>
    <row r="1384" spans="1:118" ht="36.75" customHeight="1" x14ac:dyDescent="0.3">
      <c r="A1384" s="138" t="s">
        <v>264</v>
      </c>
      <c r="B1384" s="11">
        <v>936</v>
      </c>
      <c r="C1384" s="6" t="s">
        <v>130</v>
      </c>
      <c r="D1384" s="6" t="s">
        <v>115</v>
      </c>
      <c r="E1384" s="12" t="s">
        <v>1005</v>
      </c>
      <c r="F1384" s="42" t="s">
        <v>261</v>
      </c>
      <c r="G1384" s="68">
        <f>CT1384+DF1384+DN1384</f>
        <v>930.09600000000012</v>
      </c>
      <c r="H1384" s="111"/>
      <c r="I1384" s="112"/>
      <c r="J1384" s="111"/>
      <c r="K1384" s="76"/>
      <c r="L1384" s="75"/>
      <c r="M1384" s="75"/>
      <c r="N1384" s="85"/>
      <c r="AG1384" s="75"/>
      <c r="AH1384" s="75"/>
      <c r="CT1384" s="250">
        <v>1500</v>
      </c>
      <c r="DF1384" s="187">
        <v>-82.1</v>
      </c>
      <c r="DN1384" s="260">
        <v>-487.80399999999997</v>
      </c>
    </row>
    <row r="1385" spans="1:118" ht="144" hidden="1" customHeight="1" x14ac:dyDescent="0.3">
      <c r="A1385" s="138" t="s">
        <v>711</v>
      </c>
      <c r="B1385" s="11">
        <v>936</v>
      </c>
      <c r="C1385" s="6" t="s">
        <v>130</v>
      </c>
      <c r="D1385" s="6" t="s">
        <v>115</v>
      </c>
      <c r="E1385" s="13" t="s">
        <v>899</v>
      </c>
      <c r="F1385" s="13" t="s">
        <v>50</v>
      </c>
      <c r="G1385" s="68">
        <f>G1386</f>
        <v>0</v>
      </c>
      <c r="H1385" s="111"/>
      <c r="I1385" s="112"/>
      <c r="J1385" s="111"/>
      <c r="K1385" s="76"/>
      <c r="L1385" s="75"/>
      <c r="M1385" s="75"/>
      <c r="N1385" s="85"/>
      <c r="AG1385" s="75"/>
      <c r="AH1385" s="75"/>
    </row>
    <row r="1386" spans="1:118" ht="69" hidden="1" customHeight="1" x14ac:dyDescent="0.3">
      <c r="A1386" s="138" t="s">
        <v>264</v>
      </c>
      <c r="B1386" s="11">
        <v>936</v>
      </c>
      <c r="C1386" s="6" t="s">
        <v>130</v>
      </c>
      <c r="D1386" s="6" t="s">
        <v>115</v>
      </c>
      <c r="E1386" s="13" t="s">
        <v>899</v>
      </c>
      <c r="F1386" s="13" t="s">
        <v>261</v>
      </c>
      <c r="G1386" s="68">
        <v>0</v>
      </c>
      <c r="H1386" s="111"/>
      <c r="I1386" s="112"/>
      <c r="J1386" s="111"/>
      <c r="K1386" s="76"/>
      <c r="L1386" s="75"/>
      <c r="M1386" s="75"/>
      <c r="N1386" s="85"/>
      <c r="AG1386" s="75"/>
      <c r="AH1386" s="75"/>
      <c r="CA1386" s="218">
        <v>1500</v>
      </c>
    </row>
    <row r="1387" spans="1:118" ht="143.25" customHeight="1" x14ac:dyDescent="0.3">
      <c r="A1387" s="138" t="s">
        <v>1105</v>
      </c>
      <c r="B1387" s="11">
        <v>936</v>
      </c>
      <c r="C1387" s="6" t="s">
        <v>130</v>
      </c>
      <c r="D1387" s="6" t="s">
        <v>115</v>
      </c>
      <c r="E1387" s="12" t="s">
        <v>1028</v>
      </c>
      <c r="F1387" s="12" t="s">
        <v>50</v>
      </c>
      <c r="G1387" s="53">
        <f>G1388</f>
        <v>180</v>
      </c>
      <c r="H1387" s="111"/>
      <c r="I1387" s="112"/>
      <c r="J1387" s="111"/>
      <c r="K1387" s="76"/>
      <c r="L1387" s="75"/>
      <c r="M1387" s="75"/>
      <c r="N1387" s="85"/>
      <c r="AG1387" s="75"/>
      <c r="AH1387" s="75"/>
    </row>
    <row r="1388" spans="1:118" ht="36.75" customHeight="1" x14ac:dyDescent="0.3">
      <c r="A1388" s="138" t="s">
        <v>264</v>
      </c>
      <c r="B1388" s="11">
        <v>936</v>
      </c>
      <c r="C1388" s="6" t="s">
        <v>130</v>
      </c>
      <c r="D1388" s="6" t="s">
        <v>115</v>
      </c>
      <c r="E1388" s="12" t="s">
        <v>1028</v>
      </c>
      <c r="F1388" s="42" t="s">
        <v>261</v>
      </c>
      <c r="G1388" s="53">
        <f>CU1388</f>
        <v>180</v>
      </c>
      <c r="H1388" s="111"/>
      <c r="I1388" s="112"/>
      <c r="J1388" s="111"/>
      <c r="K1388" s="76"/>
      <c r="L1388" s="75"/>
      <c r="M1388" s="75"/>
      <c r="N1388" s="85"/>
      <c r="AG1388" s="75"/>
      <c r="AH1388" s="75"/>
      <c r="CU1388" s="250">
        <v>180</v>
      </c>
    </row>
    <row r="1389" spans="1:118" ht="117" customHeight="1" x14ac:dyDescent="0.3">
      <c r="A1389" s="138" t="s">
        <v>1119</v>
      </c>
      <c r="B1389" s="11">
        <v>936</v>
      </c>
      <c r="C1389" s="6" t="s">
        <v>130</v>
      </c>
      <c r="D1389" s="6" t="s">
        <v>115</v>
      </c>
      <c r="E1389" s="12" t="s">
        <v>1029</v>
      </c>
      <c r="F1389" s="12" t="s">
        <v>50</v>
      </c>
      <c r="G1389" s="53">
        <f>G1390</f>
        <v>252.49</v>
      </c>
      <c r="H1389" s="111"/>
      <c r="I1389" s="112"/>
      <c r="J1389" s="111"/>
      <c r="K1389" s="76"/>
      <c r="L1389" s="75"/>
      <c r="M1389" s="75"/>
      <c r="N1389" s="85"/>
      <c r="AG1389" s="75"/>
      <c r="AH1389" s="75"/>
    </row>
    <row r="1390" spans="1:118" ht="36.75" customHeight="1" x14ac:dyDescent="0.3">
      <c r="A1390" s="138" t="s">
        <v>264</v>
      </c>
      <c r="B1390" s="11">
        <v>936</v>
      </c>
      <c r="C1390" s="6" t="s">
        <v>130</v>
      </c>
      <c r="D1390" s="6" t="s">
        <v>115</v>
      </c>
      <c r="E1390" s="12" t="s">
        <v>1029</v>
      </c>
      <c r="F1390" s="42" t="s">
        <v>261</v>
      </c>
      <c r="G1390" s="53">
        <f>CU1390</f>
        <v>252.49</v>
      </c>
      <c r="H1390" s="111"/>
      <c r="I1390" s="112"/>
      <c r="J1390" s="111"/>
      <c r="K1390" s="76"/>
      <c r="L1390" s="75"/>
      <c r="M1390" s="75"/>
      <c r="N1390" s="85"/>
      <c r="AG1390" s="75"/>
      <c r="AH1390" s="75"/>
      <c r="CU1390" s="250">
        <v>252.49</v>
      </c>
    </row>
    <row r="1391" spans="1:118" ht="144.75" hidden="1" customHeight="1" x14ac:dyDescent="0.3">
      <c r="A1391" s="138" t="s">
        <v>711</v>
      </c>
      <c r="B1391" s="11">
        <v>936</v>
      </c>
      <c r="C1391" s="6" t="s">
        <v>130</v>
      </c>
      <c r="D1391" s="6" t="s">
        <v>115</v>
      </c>
      <c r="E1391" s="13" t="s">
        <v>908</v>
      </c>
      <c r="F1391" s="13" t="s">
        <v>50</v>
      </c>
      <c r="G1391" s="53">
        <f>G1392</f>
        <v>0</v>
      </c>
      <c r="H1391" s="111"/>
      <c r="I1391" s="112"/>
      <c r="J1391" s="111"/>
      <c r="K1391" s="76"/>
      <c r="L1391" s="75"/>
      <c r="M1391" s="75"/>
      <c r="N1391" s="85"/>
      <c r="AG1391" s="75"/>
      <c r="AH1391" s="75"/>
    </row>
    <row r="1392" spans="1:118" ht="36.75" hidden="1" customHeight="1" x14ac:dyDescent="0.3">
      <c r="A1392" s="138" t="s">
        <v>264</v>
      </c>
      <c r="B1392" s="11">
        <v>936</v>
      </c>
      <c r="C1392" s="6" t="s">
        <v>130</v>
      </c>
      <c r="D1392" s="6" t="s">
        <v>115</v>
      </c>
      <c r="E1392" s="13" t="s">
        <v>908</v>
      </c>
      <c r="F1392" s="13" t="s">
        <v>261</v>
      </c>
      <c r="G1392" s="53">
        <v>0</v>
      </c>
      <c r="H1392" s="111"/>
      <c r="I1392" s="112"/>
      <c r="J1392" s="111"/>
      <c r="K1392" s="76"/>
      <c r="L1392" s="75"/>
      <c r="M1392" s="75"/>
      <c r="N1392" s="85"/>
      <c r="AG1392" s="75"/>
      <c r="AH1392" s="75"/>
      <c r="CB1392" s="218">
        <v>180.85499999999999</v>
      </c>
      <c r="CF1392" s="187">
        <v>43.688000000000002</v>
      </c>
    </row>
    <row r="1393" spans="1:118" ht="103.5" customHeight="1" x14ac:dyDescent="0.3">
      <c r="A1393" s="138" t="s">
        <v>1090</v>
      </c>
      <c r="B1393" s="11">
        <v>936</v>
      </c>
      <c r="C1393" s="6" t="s">
        <v>130</v>
      </c>
      <c r="D1393" s="6" t="s">
        <v>115</v>
      </c>
      <c r="E1393" s="42" t="s">
        <v>1030</v>
      </c>
      <c r="F1393" s="12" t="s">
        <v>50</v>
      </c>
      <c r="G1393" s="53">
        <f>G1394</f>
        <v>146</v>
      </c>
      <c r="H1393" s="111"/>
      <c r="I1393" s="112"/>
      <c r="J1393" s="111"/>
      <c r="K1393" s="76"/>
      <c r="L1393" s="75"/>
      <c r="M1393" s="75"/>
      <c r="N1393" s="85"/>
      <c r="AG1393" s="75"/>
      <c r="AH1393" s="75"/>
    </row>
    <row r="1394" spans="1:118" ht="36.75" customHeight="1" x14ac:dyDescent="0.3">
      <c r="A1394" s="138" t="s">
        <v>264</v>
      </c>
      <c r="B1394" s="11">
        <v>936</v>
      </c>
      <c r="C1394" s="6" t="s">
        <v>130</v>
      </c>
      <c r="D1394" s="6" t="s">
        <v>115</v>
      </c>
      <c r="E1394" s="42" t="s">
        <v>1030</v>
      </c>
      <c r="F1394" s="42" t="s">
        <v>261</v>
      </c>
      <c r="G1394" s="53">
        <f>CU1394</f>
        <v>146</v>
      </c>
      <c r="H1394" s="111"/>
      <c r="I1394" s="112"/>
      <c r="J1394" s="111"/>
      <c r="K1394" s="76"/>
      <c r="L1394" s="75"/>
      <c r="M1394" s="75"/>
      <c r="N1394" s="85"/>
      <c r="AG1394" s="75"/>
      <c r="AH1394" s="75"/>
      <c r="CU1394" s="250">
        <v>146</v>
      </c>
    </row>
    <row r="1395" spans="1:118" ht="111.75" customHeight="1" x14ac:dyDescent="0.3">
      <c r="A1395" s="138" t="s">
        <v>1092</v>
      </c>
      <c r="B1395" s="11">
        <v>936</v>
      </c>
      <c r="C1395" s="6" t="s">
        <v>130</v>
      </c>
      <c r="D1395" s="6" t="s">
        <v>115</v>
      </c>
      <c r="E1395" s="42" t="s">
        <v>1031</v>
      </c>
      <c r="F1395" s="12" t="s">
        <v>50</v>
      </c>
      <c r="G1395" s="53">
        <f>G1396</f>
        <v>330</v>
      </c>
      <c r="H1395" s="111"/>
      <c r="I1395" s="112"/>
      <c r="J1395" s="111"/>
      <c r="K1395" s="76"/>
      <c r="L1395" s="75"/>
      <c r="M1395" s="75"/>
      <c r="N1395" s="85"/>
      <c r="AG1395" s="75"/>
      <c r="AH1395" s="75"/>
    </row>
    <row r="1396" spans="1:118" ht="36.75" customHeight="1" x14ac:dyDescent="0.3">
      <c r="A1396" s="138" t="s">
        <v>264</v>
      </c>
      <c r="B1396" s="11">
        <v>936</v>
      </c>
      <c r="C1396" s="6" t="s">
        <v>130</v>
      </c>
      <c r="D1396" s="6" t="s">
        <v>115</v>
      </c>
      <c r="E1396" s="42" t="s">
        <v>1031</v>
      </c>
      <c r="F1396" s="42" t="s">
        <v>261</v>
      </c>
      <c r="G1396" s="53">
        <f>CU1396</f>
        <v>330</v>
      </c>
      <c r="H1396" s="111"/>
      <c r="I1396" s="112"/>
      <c r="J1396" s="111"/>
      <c r="K1396" s="76"/>
      <c r="L1396" s="75"/>
      <c r="M1396" s="75"/>
      <c r="N1396" s="85"/>
      <c r="AG1396" s="75"/>
      <c r="AH1396" s="75"/>
      <c r="CU1396" s="250">
        <v>330</v>
      </c>
    </row>
    <row r="1397" spans="1:118" ht="77.25" hidden="1" customHeight="1" x14ac:dyDescent="0.3">
      <c r="A1397" s="138" t="s">
        <v>724</v>
      </c>
      <c r="B1397" s="11">
        <v>936</v>
      </c>
      <c r="C1397" s="6" t="s">
        <v>130</v>
      </c>
      <c r="D1397" s="6" t="s">
        <v>115</v>
      </c>
      <c r="E1397" s="42" t="s">
        <v>909</v>
      </c>
      <c r="F1397" s="13" t="s">
        <v>50</v>
      </c>
      <c r="G1397" s="53">
        <f>G1398</f>
        <v>0</v>
      </c>
      <c r="H1397" s="111"/>
      <c r="I1397" s="112"/>
      <c r="J1397" s="111"/>
      <c r="K1397" s="76"/>
      <c r="L1397" s="75"/>
      <c r="M1397" s="75"/>
      <c r="N1397" s="85"/>
      <c r="AG1397" s="75"/>
      <c r="AH1397" s="75"/>
    </row>
    <row r="1398" spans="1:118" ht="36.75" hidden="1" customHeight="1" x14ac:dyDescent="0.3">
      <c r="A1398" s="138" t="s">
        <v>264</v>
      </c>
      <c r="B1398" s="11">
        <v>936</v>
      </c>
      <c r="C1398" s="6" t="s">
        <v>130</v>
      </c>
      <c r="D1398" s="6" t="s">
        <v>115</v>
      </c>
      <c r="E1398" s="42" t="s">
        <v>909</v>
      </c>
      <c r="F1398" s="13" t="s">
        <v>261</v>
      </c>
      <c r="G1398" s="53">
        <v>0</v>
      </c>
      <c r="H1398" s="111"/>
      <c r="I1398" s="112"/>
      <c r="J1398" s="111"/>
      <c r="K1398" s="76"/>
      <c r="L1398" s="75"/>
      <c r="M1398" s="75"/>
      <c r="N1398" s="85"/>
      <c r="AG1398" s="75"/>
      <c r="AH1398" s="75"/>
      <c r="CB1398" s="218">
        <v>260</v>
      </c>
    </row>
    <row r="1399" spans="1:118" ht="63.75" customHeight="1" x14ac:dyDescent="0.3">
      <c r="A1399" s="224" t="s">
        <v>982</v>
      </c>
      <c r="B1399" s="11">
        <v>936</v>
      </c>
      <c r="C1399" s="6" t="s">
        <v>130</v>
      </c>
      <c r="D1399" s="6" t="s">
        <v>115</v>
      </c>
      <c r="E1399" s="12" t="s">
        <v>983</v>
      </c>
      <c r="F1399" s="12" t="s">
        <v>50</v>
      </c>
      <c r="G1399" s="53">
        <f>G1400</f>
        <v>0</v>
      </c>
      <c r="H1399" s="111"/>
      <c r="I1399" s="112"/>
      <c r="J1399" s="111"/>
      <c r="K1399" s="76"/>
      <c r="L1399" s="75"/>
      <c r="M1399" s="75"/>
      <c r="N1399" s="85"/>
      <c r="AG1399" s="75"/>
      <c r="AH1399" s="75"/>
    </row>
    <row r="1400" spans="1:118" ht="44.25" customHeight="1" x14ac:dyDescent="0.3">
      <c r="A1400" s="138" t="s">
        <v>264</v>
      </c>
      <c r="B1400" s="11">
        <v>936</v>
      </c>
      <c r="C1400" s="6" t="s">
        <v>130</v>
      </c>
      <c r="D1400" s="6" t="s">
        <v>115</v>
      </c>
      <c r="E1400" s="12" t="s">
        <v>983</v>
      </c>
      <c r="F1400" s="12" t="s">
        <v>261</v>
      </c>
      <c r="G1400" s="53">
        <f>CT1400+CV1400</f>
        <v>0</v>
      </c>
      <c r="H1400" s="111"/>
      <c r="I1400" s="112"/>
      <c r="J1400" s="111"/>
      <c r="K1400" s="76"/>
      <c r="L1400" s="75"/>
      <c r="M1400" s="75"/>
      <c r="N1400" s="85"/>
      <c r="AG1400" s="75"/>
      <c r="AH1400" s="75"/>
      <c r="CT1400" s="250">
        <v>2500</v>
      </c>
      <c r="CV1400" s="259">
        <v>-2500</v>
      </c>
    </row>
    <row r="1401" spans="1:118" x14ac:dyDescent="0.3">
      <c r="A1401" s="150" t="s">
        <v>166</v>
      </c>
      <c r="B1401" s="10">
        <v>936</v>
      </c>
      <c r="C1401" s="17">
        <v>10</v>
      </c>
      <c r="D1401" s="17" t="s">
        <v>112</v>
      </c>
      <c r="E1401" s="10" t="s">
        <v>49</v>
      </c>
      <c r="F1401" s="7" t="s">
        <v>50</v>
      </c>
      <c r="G1401" s="64">
        <f>G1402+G1407+G1429+G1484</f>
        <v>19030.18</v>
      </c>
      <c r="H1401" s="111"/>
      <c r="I1401" s="112"/>
      <c r="J1401" s="111"/>
      <c r="K1401" s="76"/>
      <c r="L1401" s="75"/>
      <c r="M1401" s="75"/>
      <c r="AG1401" s="75"/>
      <c r="AH1401" s="75"/>
    </row>
    <row r="1402" spans="1:118" x14ac:dyDescent="0.3">
      <c r="A1402" s="150" t="s">
        <v>315</v>
      </c>
      <c r="B1402" s="10">
        <v>936</v>
      </c>
      <c r="C1402" s="17">
        <v>10</v>
      </c>
      <c r="D1402" s="17" t="s">
        <v>115</v>
      </c>
      <c r="E1402" s="10" t="s">
        <v>49</v>
      </c>
      <c r="F1402" s="7" t="s">
        <v>50</v>
      </c>
      <c r="G1402" s="64">
        <f>G1403</f>
        <v>2001</v>
      </c>
      <c r="H1402" s="111"/>
      <c r="I1402" s="112"/>
      <c r="J1402" s="111"/>
      <c r="K1402" s="76"/>
      <c r="L1402" s="75"/>
      <c r="M1402" s="75"/>
      <c r="AG1402" s="75"/>
      <c r="AH1402" s="75"/>
      <c r="AS1402" s="187" t="s">
        <v>718</v>
      </c>
    </row>
    <row r="1403" spans="1:118" ht="56.25" x14ac:dyDescent="0.3">
      <c r="A1403" s="181" t="s">
        <v>16</v>
      </c>
      <c r="B1403" s="10">
        <v>936</v>
      </c>
      <c r="C1403" s="17" t="s">
        <v>169</v>
      </c>
      <c r="D1403" s="17" t="s">
        <v>115</v>
      </c>
      <c r="E1403" s="19" t="s">
        <v>32</v>
      </c>
      <c r="F1403" s="7" t="s">
        <v>50</v>
      </c>
      <c r="G1403" s="64">
        <f>G1405</f>
        <v>2001</v>
      </c>
      <c r="H1403" s="111"/>
      <c r="I1403" s="112"/>
      <c r="J1403" s="111"/>
      <c r="K1403" s="76"/>
      <c r="L1403" s="75"/>
      <c r="M1403" s="75"/>
      <c r="AG1403" s="75"/>
      <c r="AH1403" s="75"/>
    </row>
    <row r="1404" spans="1:118" ht="27" customHeight="1" x14ac:dyDescent="0.3">
      <c r="A1404" s="170" t="s">
        <v>409</v>
      </c>
      <c r="B1404" s="11">
        <v>936</v>
      </c>
      <c r="C1404" s="6" t="s">
        <v>169</v>
      </c>
      <c r="D1404" s="6" t="s">
        <v>115</v>
      </c>
      <c r="E1404" s="13" t="s">
        <v>44</v>
      </c>
      <c r="F1404" s="12" t="s">
        <v>50</v>
      </c>
      <c r="G1404" s="53">
        <f>G1405</f>
        <v>2001</v>
      </c>
      <c r="H1404" s="111"/>
      <c r="I1404" s="112"/>
      <c r="J1404" s="111"/>
      <c r="K1404" s="76"/>
      <c r="L1404" s="75"/>
      <c r="M1404" s="75"/>
      <c r="AG1404" s="75"/>
      <c r="AH1404" s="75"/>
    </row>
    <row r="1405" spans="1:118" ht="25.5" customHeight="1" x14ac:dyDescent="0.3">
      <c r="A1405" s="138" t="s">
        <v>316</v>
      </c>
      <c r="B1405" s="11">
        <v>936</v>
      </c>
      <c r="C1405" s="6" t="s">
        <v>169</v>
      </c>
      <c r="D1405" s="6" t="s">
        <v>115</v>
      </c>
      <c r="E1405" s="11" t="s">
        <v>317</v>
      </c>
      <c r="F1405" s="12" t="s">
        <v>50</v>
      </c>
      <c r="G1405" s="53">
        <f>G1406</f>
        <v>2001</v>
      </c>
      <c r="H1405" s="111"/>
      <c r="I1405" s="112"/>
      <c r="J1405" s="111"/>
      <c r="K1405" s="76"/>
      <c r="L1405" s="75"/>
      <c r="M1405" s="75"/>
      <c r="AG1405" s="75"/>
      <c r="AH1405" s="75"/>
    </row>
    <row r="1406" spans="1:118" ht="31.5" customHeight="1" x14ac:dyDescent="0.3">
      <c r="A1406" s="138" t="s">
        <v>175</v>
      </c>
      <c r="B1406" s="11">
        <v>936</v>
      </c>
      <c r="C1406" s="6" t="s">
        <v>169</v>
      </c>
      <c r="D1406" s="6" t="s">
        <v>115</v>
      </c>
      <c r="E1406" s="11" t="s">
        <v>317</v>
      </c>
      <c r="F1406" s="12" t="s">
        <v>176</v>
      </c>
      <c r="G1406" s="53">
        <f>CR1406+CZ1406+DC1406+DH1406+DN1406</f>
        <v>2001</v>
      </c>
      <c r="H1406" s="111">
        <v>858</v>
      </c>
      <c r="I1406" s="112"/>
      <c r="J1406" s="111"/>
      <c r="K1406" s="76"/>
      <c r="L1406" s="75"/>
      <c r="M1406" s="75">
        <v>1000</v>
      </c>
      <c r="U1406">
        <v>-131</v>
      </c>
      <c r="Z1406">
        <v>-60</v>
      </c>
      <c r="AC1406">
        <v>333</v>
      </c>
      <c r="AG1406" s="75"/>
      <c r="AH1406" s="75">
        <v>7.5720000000000001</v>
      </c>
      <c r="AK1406" s="75">
        <v>766.5</v>
      </c>
      <c r="BE1406" s="218">
        <f>143+141</f>
        <v>284</v>
      </c>
      <c r="BH1406" s="225">
        <v>302</v>
      </c>
      <c r="BL1406" s="187">
        <v>281.23442999999997</v>
      </c>
      <c r="BN1406" s="229">
        <v>890</v>
      </c>
      <c r="CH1406" s="250">
        <v>300</v>
      </c>
      <c r="CJ1406" s="187">
        <v>300</v>
      </c>
      <c r="CP1406" s="251">
        <v>300</v>
      </c>
      <c r="CR1406" s="94">
        <v>860</v>
      </c>
      <c r="CZ1406" s="187">
        <v>200</v>
      </c>
      <c r="DC1406" s="187">
        <v>350</v>
      </c>
      <c r="DH1406" s="187">
        <v>336</v>
      </c>
      <c r="DN1406" s="260">
        <v>255</v>
      </c>
    </row>
    <row r="1407" spans="1:118" x14ac:dyDescent="0.3">
      <c r="A1407" s="150" t="s">
        <v>167</v>
      </c>
      <c r="B1407" s="10">
        <v>936</v>
      </c>
      <c r="C1407" s="17">
        <v>10</v>
      </c>
      <c r="D1407" s="17" t="s">
        <v>117</v>
      </c>
      <c r="E1407" s="10" t="s">
        <v>49</v>
      </c>
      <c r="F1407" s="7" t="s">
        <v>50</v>
      </c>
      <c r="G1407" s="64">
        <f>+G1424</f>
        <v>1396.6000000000001</v>
      </c>
      <c r="H1407" s="111"/>
      <c r="I1407" s="112"/>
      <c r="J1407" s="111"/>
      <c r="K1407" s="76"/>
      <c r="L1407" s="75"/>
      <c r="M1407" s="75"/>
      <c r="AG1407" s="75"/>
      <c r="AH1407" s="75"/>
    </row>
    <row r="1408" spans="1:118" ht="56.25" hidden="1" x14ac:dyDescent="0.3">
      <c r="A1408" s="138" t="s">
        <v>38</v>
      </c>
      <c r="B1408" s="11" t="s">
        <v>285</v>
      </c>
      <c r="C1408" s="6" t="s">
        <v>169</v>
      </c>
      <c r="D1408" s="6" t="s">
        <v>117</v>
      </c>
      <c r="E1408" s="11" t="s">
        <v>400</v>
      </c>
      <c r="F1408" s="12" t="s">
        <v>50</v>
      </c>
      <c r="G1408" s="53">
        <f>G1409</f>
        <v>0</v>
      </c>
      <c r="H1408" s="111"/>
      <c r="I1408" s="112"/>
      <c r="J1408" s="111"/>
      <c r="K1408" s="76"/>
      <c r="L1408" s="75"/>
      <c r="M1408" s="75"/>
      <c r="AG1408" s="75"/>
      <c r="AH1408" s="75"/>
    </row>
    <row r="1409" spans="1:37" ht="37.5" hidden="1" x14ac:dyDescent="0.3">
      <c r="A1409" s="138" t="s">
        <v>139</v>
      </c>
      <c r="B1409" s="11">
        <v>936</v>
      </c>
      <c r="C1409" s="6" t="s">
        <v>169</v>
      </c>
      <c r="D1409" s="6" t="s">
        <v>117</v>
      </c>
      <c r="E1409" s="11" t="s">
        <v>72</v>
      </c>
      <c r="F1409" s="12" t="s">
        <v>50</v>
      </c>
      <c r="G1409" s="53">
        <f>G1410</f>
        <v>0</v>
      </c>
      <c r="H1409" s="111"/>
      <c r="I1409" s="112"/>
      <c r="J1409" s="111"/>
      <c r="K1409" s="76"/>
      <c r="L1409" s="75"/>
      <c r="M1409" s="75"/>
      <c r="AG1409" s="75"/>
      <c r="AH1409" s="75"/>
    </row>
    <row r="1410" spans="1:37" ht="33" hidden="1" customHeight="1" x14ac:dyDescent="0.3">
      <c r="A1410" s="138" t="s">
        <v>62</v>
      </c>
      <c r="B1410" s="11">
        <v>936</v>
      </c>
      <c r="C1410" s="6" t="s">
        <v>169</v>
      </c>
      <c r="D1410" s="6" t="s">
        <v>117</v>
      </c>
      <c r="E1410" s="11" t="s">
        <v>154</v>
      </c>
      <c r="F1410" s="12" t="s">
        <v>50</v>
      </c>
      <c r="G1410" s="53">
        <f>G1411</f>
        <v>0</v>
      </c>
      <c r="H1410" s="111"/>
      <c r="I1410" s="112"/>
      <c r="J1410" s="111"/>
      <c r="K1410" s="76"/>
      <c r="L1410" s="75"/>
      <c r="M1410" s="75"/>
      <c r="AG1410" s="75"/>
      <c r="AH1410" s="75"/>
    </row>
    <row r="1411" spans="1:37" ht="33" hidden="1" customHeight="1" x14ac:dyDescent="0.3">
      <c r="A1411" s="138" t="s">
        <v>153</v>
      </c>
      <c r="B1411" s="11">
        <v>936</v>
      </c>
      <c r="C1411" s="6" t="s">
        <v>169</v>
      </c>
      <c r="D1411" s="6" t="s">
        <v>117</v>
      </c>
      <c r="E1411" s="12" t="s">
        <v>155</v>
      </c>
      <c r="F1411" s="12" t="s">
        <v>50</v>
      </c>
      <c r="G1411" s="53">
        <f>G1412</f>
        <v>0</v>
      </c>
      <c r="H1411" s="111"/>
      <c r="I1411" s="112"/>
      <c r="J1411" s="111"/>
      <c r="K1411" s="76"/>
      <c r="L1411" s="75"/>
      <c r="M1411" s="75"/>
      <c r="AG1411" s="75"/>
      <c r="AH1411" s="75"/>
    </row>
    <row r="1412" spans="1:37" ht="37.5" hidden="1" x14ac:dyDescent="0.3">
      <c r="A1412" s="138" t="s">
        <v>175</v>
      </c>
      <c r="B1412" s="11">
        <v>936</v>
      </c>
      <c r="C1412" s="6" t="s">
        <v>169</v>
      </c>
      <c r="D1412" s="6" t="s">
        <v>117</v>
      </c>
      <c r="E1412" s="12" t="s">
        <v>155</v>
      </c>
      <c r="F1412" s="12" t="s">
        <v>176</v>
      </c>
      <c r="G1412" s="68">
        <v>0</v>
      </c>
      <c r="H1412" s="111">
        <v>10</v>
      </c>
      <c r="I1412" s="112"/>
      <c r="J1412" s="111"/>
      <c r="K1412" s="76"/>
      <c r="L1412" s="75"/>
      <c r="M1412" s="75"/>
      <c r="AG1412" s="75"/>
      <c r="AH1412" s="75"/>
      <c r="AK1412" s="75">
        <v>0</v>
      </c>
    </row>
    <row r="1413" spans="1:37" ht="56.25" hidden="1" x14ac:dyDescent="0.3">
      <c r="A1413" s="151" t="s">
        <v>0</v>
      </c>
      <c r="B1413" s="11">
        <v>936</v>
      </c>
      <c r="C1413" s="6">
        <v>10</v>
      </c>
      <c r="D1413" s="6" t="s">
        <v>117</v>
      </c>
      <c r="E1413" s="13" t="s">
        <v>92</v>
      </c>
      <c r="F1413" s="12" t="s">
        <v>50</v>
      </c>
      <c r="G1413" s="53">
        <f>G1414</f>
        <v>0</v>
      </c>
      <c r="H1413" s="111"/>
      <c r="I1413" s="112"/>
      <c r="J1413" s="111"/>
      <c r="K1413" s="76"/>
      <c r="L1413" s="75"/>
      <c r="M1413" s="75"/>
      <c r="AG1413" s="75"/>
      <c r="AH1413" s="75"/>
    </row>
    <row r="1414" spans="1:37" ht="57.75" hidden="1" customHeight="1" x14ac:dyDescent="0.3">
      <c r="A1414" s="151" t="s">
        <v>2</v>
      </c>
      <c r="B1414" s="11">
        <v>936</v>
      </c>
      <c r="C1414" s="6">
        <v>10</v>
      </c>
      <c r="D1414" s="6" t="s">
        <v>117</v>
      </c>
      <c r="E1414" s="13" t="s">
        <v>26</v>
      </c>
      <c r="F1414" s="12" t="s">
        <v>50</v>
      </c>
      <c r="G1414" s="53">
        <f>G1415</f>
        <v>0</v>
      </c>
      <c r="H1414" s="111"/>
      <c r="I1414" s="112"/>
      <c r="J1414" s="111"/>
      <c r="K1414" s="76"/>
      <c r="L1414" s="75"/>
      <c r="M1414" s="75"/>
      <c r="AG1414" s="75"/>
      <c r="AH1414" s="75"/>
    </row>
    <row r="1415" spans="1:37" ht="48.75" hidden="1" customHeight="1" x14ac:dyDescent="0.3">
      <c r="A1415" s="138" t="s">
        <v>168</v>
      </c>
      <c r="B1415" s="11">
        <v>936</v>
      </c>
      <c r="C1415" s="12" t="s">
        <v>169</v>
      </c>
      <c r="D1415" s="6" t="s">
        <v>117</v>
      </c>
      <c r="E1415" s="13" t="s">
        <v>170</v>
      </c>
      <c r="F1415" s="12" t="s">
        <v>50</v>
      </c>
      <c r="G1415" s="53">
        <f>G1419</f>
        <v>0</v>
      </c>
      <c r="H1415" s="111"/>
      <c r="I1415" s="112"/>
      <c r="J1415" s="111"/>
      <c r="K1415" s="76"/>
      <c r="L1415" s="75"/>
      <c r="M1415" s="75"/>
      <c r="AG1415" s="75"/>
      <c r="AH1415" s="75"/>
    </row>
    <row r="1416" spans="1:37" hidden="1" outlineLevel="1" x14ac:dyDescent="0.3">
      <c r="A1416" s="138" t="s">
        <v>62</v>
      </c>
      <c r="B1416" s="11">
        <v>936</v>
      </c>
      <c r="C1416" s="6" t="s">
        <v>169</v>
      </c>
      <c r="D1416" s="6" t="s">
        <v>117</v>
      </c>
      <c r="E1416" s="12" t="s">
        <v>287</v>
      </c>
      <c r="F1416" s="12" t="s">
        <v>50</v>
      </c>
      <c r="G1416" s="31" t="e">
        <f>G1417</f>
        <v>#REF!</v>
      </c>
      <c r="H1416" s="128"/>
      <c r="I1416" s="129"/>
      <c r="J1416" s="128"/>
      <c r="K1416" s="76"/>
      <c r="L1416" s="75"/>
      <c r="M1416" s="75"/>
      <c r="AG1416" s="75"/>
      <c r="AH1416" s="75"/>
    </row>
    <row r="1417" spans="1:37" hidden="1" outlineLevel="1" x14ac:dyDescent="0.3">
      <c r="A1417" s="138" t="s">
        <v>318</v>
      </c>
      <c r="B1417" s="11">
        <v>936</v>
      </c>
      <c r="C1417" s="6" t="s">
        <v>169</v>
      </c>
      <c r="D1417" s="6" t="s">
        <v>117</v>
      </c>
      <c r="E1417" s="12" t="s">
        <v>319</v>
      </c>
      <c r="F1417" s="12" t="s">
        <v>50</v>
      </c>
      <c r="G1417" s="31" t="e">
        <f>#REF!</f>
        <v>#REF!</v>
      </c>
      <c r="H1417" s="128"/>
      <c r="I1417" s="129"/>
      <c r="J1417" s="128"/>
      <c r="K1417" s="76"/>
      <c r="L1417" s="75"/>
      <c r="M1417" s="75"/>
      <c r="AG1417" s="75"/>
      <c r="AH1417" s="75"/>
    </row>
    <row r="1418" spans="1:37" ht="37.5" hidden="1" outlineLevel="1" x14ac:dyDescent="0.3">
      <c r="A1418" s="138" t="s">
        <v>146</v>
      </c>
      <c r="B1418" s="11">
        <v>936</v>
      </c>
      <c r="C1418" s="12" t="s">
        <v>123</v>
      </c>
      <c r="D1418" s="6" t="s">
        <v>123</v>
      </c>
      <c r="E1418" s="12" t="s">
        <v>148</v>
      </c>
      <c r="F1418" s="12" t="s">
        <v>50</v>
      </c>
      <c r="G1418" s="53">
        <f>G1419</f>
        <v>0</v>
      </c>
      <c r="H1418" s="111"/>
      <c r="I1418" s="112"/>
      <c r="J1418" s="111"/>
      <c r="K1418" s="76"/>
      <c r="L1418" s="75"/>
      <c r="M1418" s="75"/>
      <c r="AG1418" s="75"/>
      <c r="AH1418" s="75"/>
    </row>
    <row r="1419" spans="1:37" ht="36.75" hidden="1" customHeight="1" x14ac:dyDescent="0.3">
      <c r="A1419" s="138" t="s">
        <v>264</v>
      </c>
      <c r="B1419" s="11">
        <v>936</v>
      </c>
      <c r="C1419" s="12" t="s">
        <v>169</v>
      </c>
      <c r="D1419" s="6" t="s">
        <v>117</v>
      </c>
      <c r="E1419" s="13" t="s">
        <v>170</v>
      </c>
      <c r="F1419" s="1">
        <v>600</v>
      </c>
      <c r="G1419" s="68">
        <v>0</v>
      </c>
      <c r="H1419" s="111"/>
      <c r="I1419" s="112"/>
      <c r="J1419" s="111"/>
      <c r="K1419" s="76"/>
      <c r="L1419" s="75">
        <v>-70.5</v>
      </c>
      <c r="M1419" s="75"/>
      <c r="AG1419" s="75"/>
      <c r="AH1419" s="75"/>
    </row>
    <row r="1420" spans="1:37" ht="36.75" hidden="1" customHeight="1" x14ac:dyDescent="0.3">
      <c r="A1420" s="200" t="s">
        <v>16</v>
      </c>
      <c r="B1420" s="11">
        <v>936</v>
      </c>
      <c r="C1420" s="6" t="s">
        <v>169</v>
      </c>
      <c r="D1420" s="6" t="s">
        <v>117</v>
      </c>
      <c r="E1420" s="13" t="s">
        <v>32</v>
      </c>
      <c r="F1420" s="12" t="s">
        <v>50</v>
      </c>
      <c r="G1420" s="31">
        <f>G1421</f>
        <v>0</v>
      </c>
      <c r="H1420" s="128"/>
      <c r="I1420" s="129"/>
      <c r="J1420" s="128"/>
      <c r="K1420" s="76"/>
      <c r="L1420" s="75"/>
      <c r="M1420" s="75"/>
      <c r="AG1420" s="75"/>
      <c r="AH1420" s="75"/>
    </row>
    <row r="1421" spans="1:37" ht="27.75" hidden="1" customHeight="1" x14ac:dyDescent="0.3">
      <c r="A1421" s="138" t="s">
        <v>409</v>
      </c>
      <c r="B1421" s="11">
        <v>936</v>
      </c>
      <c r="C1421" s="6" t="s">
        <v>169</v>
      </c>
      <c r="D1421" s="6" t="s">
        <v>117</v>
      </c>
      <c r="E1421" s="13" t="s">
        <v>44</v>
      </c>
      <c r="F1421" s="12" t="s">
        <v>50</v>
      </c>
      <c r="G1421" s="31">
        <f>G1422</f>
        <v>0</v>
      </c>
      <c r="H1421" s="128"/>
      <c r="I1421" s="129"/>
      <c r="J1421" s="128"/>
      <c r="K1421" s="76"/>
      <c r="L1421" s="75"/>
      <c r="M1421" s="75"/>
      <c r="AG1421" s="75"/>
      <c r="AH1421" s="75"/>
    </row>
    <row r="1422" spans="1:37" ht="30" hidden="1" customHeight="1" x14ac:dyDescent="0.3">
      <c r="A1422" s="138" t="s">
        <v>184</v>
      </c>
      <c r="B1422" s="11">
        <v>936</v>
      </c>
      <c r="C1422" s="6" t="s">
        <v>169</v>
      </c>
      <c r="D1422" s="6" t="s">
        <v>117</v>
      </c>
      <c r="E1422" s="13" t="s">
        <v>185</v>
      </c>
      <c r="F1422" s="12" t="s">
        <v>50</v>
      </c>
      <c r="G1422" s="31">
        <f>G1423</f>
        <v>0</v>
      </c>
      <c r="H1422" s="128"/>
      <c r="I1422" s="129"/>
      <c r="J1422" s="128"/>
      <c r="K1422" s="76"/>
      <c r="L1422" s="75"/>
      <c r="M1422" s="75"/>
      <c r="AG1422" s="75"/>
      <c r="AH1422" s="75"/>
    </row>
    <row r="1423" spans="1:37" ht="29.25" hidden="1" customHeight="1" x14ac:dyDescent="0.3">
      <c r="A1423" s="138" t="s">
        <v>175</v>
      </c>
      <c r="B1423" s="11">
        <v>936</v>
      </c>
      <c r="C1423" s="6" t="s">
        <v>169</v>
      </c>
      <c r="D1423" s="6" t="s">
        <v>117</v>
      </c>
      <c r="E1423" s="13" t="s">
        <v>185</v>
      </c>
      <c r="F1423" s="12" t="s">
        <v>176</v>
      </c>
      <c r="G1423" s="31">
        <v>0</v>
      </c>
      <c r="H1423" s="128"/>
      <c r="I1423" s="129"/>
      <c r="J1423" s="128"/>
      <c r="K1423" s="76"/>
      <c r="L1423" s="75"/>
      <c r="M1423" s="75"/>
      <c r="AG1423" s="75"/>
      <c r="AH1423" s="75"/>
    </row>
    <row r="1424" spans="1:37" ht="64.5" customHeight="1" x14ac:dyDescent="0.3">
      <c r="A1424" s="151" t="s">
        <v>0</v>
      </c>
      <c r="B1424" s="11">
        <v>936</v>
      </c>
      <c r="C1424" s="6" t="s">
        <v>169</v>
      </c>
      <c r="D1424" s="6" t="s">
        <v>117</v>
      </c>
      <c r="E1424" s="13" t="s">
        <v>92</v>
      </c>
      <c r="F1424" s="12" t="s">
        <v>50</v>
      </c>
      <c r="G1424" s="31">
        <f>G1425+G1427</f>
        <v>1396.6000000000001</v>
      </c>
      <c r="H1424" s="128"/>
      <c r="I1424" s="129"/>
      <c r="J1424" s="128"/>
      <c r="K1424" s="76"/>
      <c r="L1424" s="75"/>
      <c r="M1424" s="75"/>
      <c r="AG1424" s="75"/>
      <c r="AH1424" s="75"/>
    </row>
    <row r="1425" spans="1:118" ht="88.5" customHeight="1" x14ac:dyDescent="0.3">
      <c r="A1425" s="224" t="s">
        <v>820</v>
      </c>
      <c r="B1425" s="11">
        <v>936</v>
      </c>
      <c r="C1425" s="6" t="s">
        <v>169</v>
      </c>
      <c r="D1425" s="6" t="s">
        <v>117</v>
      </c>
      <c r="E1425" s="13" t="s">
        <v>819</v>
      </c>
      <c r="F1425" s="12" t="s">
        <v>50</v>
      </c>
      <c r="G1425" s="31">
        <f>G1426</f>
        <v>1017.6000000000001</v>
      </c>
      <c r="H1425" s="128"/>
      <c r="I1425" s="129"/>
      <c r="J1425" s="128"/>
      <c r="K1425" s="76"/>
      <c r="L1425" s="75"/>
      <c r="M1425" s="75"/>
      <c r="AG1425" s="75"/>
      <c r="AH1425" s="75"/>
    </row>
    <row r="1426" spans="1:118" ht="45" customHeight="1" x14ac:dyDescent="0.3">
      <c r="A1426" s="138" t="s">
        <v>425</v>
      </c>
      <c r="B1426" s="11">
        <v>936</v>
      </c>
      <c r="C1426" s="6" t="s">
        <v>169</v>
      </c>
      <c r="D1426" s="6" t="s">
        <v>117</v>
      </c>
      <c r="E1426" s="13" t="s">
        <v>819</v>
      </c>
      <c r="F1426" s="12" t="s">
        <v>59</v>
      </c>
      <c r="G1426" s="31">
        <f>CQ1426+CT1426+DI1426</f>
        <v>1017.6000000000001</v>
      </c>
      <c r="H1426" s="128"/>
      <c r="I1426" s="129"/>
      <c r="J1426" s="128"/>
      <c r="K1426" s="76"/>
      <c r="L1426" s="75"/>
      <c r="M1426" s="75"/>
      <c r="AG1426" s="75"/>
      <c r="AH1426" s="75"/>
      <c r="BT1426" s="146">
        <v>196.2</v>
      </c>
      <c r="CI1426" s="187">
        <v>299.3</v>
      </c>
      <c r="CQ1426" s="94">
        <v>519.20000000000005</v>
      </c>
      <c r="CT1426" s="250">
        <v>-74.7</v>
      </c>
      <c r="DI1426" s="260">
        <v>573.1</v>
      </c>
    </row>
    <row r="1427" spans="1:118" ht="45" customHeight="1" x14ac:dyDescent="0.3">
      <c r="A1427" s="227" t="s">
        <v>168</v>
      </c>
      <c r="B1427" s="11">
        <v>936</v>
      </c>
      <c r="C1427" s="6" t="s">
        <v>169</v>
      </c>
      <c r="D1427" s="6" t="s">
        <v>117</v>
      </c>
      <c r="E1427" s="89" t="s">
        <v>791</v>
      </c>
      <c r="F1427" s="12" t="s">
        <v>50</v>
      </c>
      <c r="G1427" s="31">
        <f>G1428</f>
        <v>378.99999999999994</v>
      </c>
      <c r="H1427" s="128"/>
      <c r="I1427" s="129"/>
      <c r="J1427" s="128"/>
      <c r="K1427" s="76"/>
      <c r="L1427" s="75"/>
      <c r="M1427" s="75"/>
      <c r="AG1427" s="75"/>
      <c r="AH1427" s="75"/>
    </row>
    <row r="1428" spans="1:118" ht="45" customHeight="1" x14ac:dyDescent="0.3">
      <c r="A1428" s="138" t="s">
        <v>425</v>
      </c>
      <c r="B1428" s="11">
        <v>936</v>
      </c>
      <c r="C1428" s="6" t="s">
        <v>169</v>
      </c>
      <c r="D1428" s="6" t="s">
        <v>117</v>
      </c>
      <c r="E1428" s="89" t="s">
        <v>791</v>
      </c>
      <c r="F1428" s="12" t="s">
        <v>59</v>
      </c>
      <c r="G1428" s="31">
        <f>CY1428+DC1428+DF1428+DH1428-44.6+DJ1428+DL1428+DN1428</f>
        <v>378.99999999999994</v>
      </c>
      <c r="H1428" s="128"/>
      <c r="I1428" s="129"/>
      <c r="J1428" s="128"/>
      <c r="K1428" s="76"/>
      <c r="L1428" s="75"/>
      <c r="M1428" s="75"/>
      <c r="AG1428" s="75"/>
      <c r="AH1428" s="75"/>
      <c r="CD1428" s="218">
        <v>162.19999999999999</v>
      </c>
      <c r="CL1428" s="187">
        <v>-162.19999999999999</v>
      </c>
      <c r="CY1428" s="187">
        <v>57.6</v>
      </c>
      <c r="DC1428" s="262">
        <f>120+180</f>
        <v>300</v>
      </c>
      <c r="DF1428" s="187">
        <v>400</v>
      </c>
      <c r="DH1428" s="187">
        <v>140</v>
      </c>
      <c r="DJ1428" s="187">
        <v>-47.2</v>
      </c>
      <c r="DL1428" s="260">
        <v>-448.2</v>
      </c>
      <c r="DN1428" s="260">
        <v>21.4</v>
      </c>
    </row>
    <row r="1429" spans="1:118" x14ac:dyDescent="0.3">
      <c r="A1429" s="150" t="s">
        <v>171</v>
      </c>
      <c r="B1429" s="10">
        <v>936</v>
      </c>
      <c r="C1429" s="17">
        <v>10</v>
      </c>
      <c r="D1429" s="17" t="s">
        <v>121</v>
      </c>
      <c r="E1429" s="10" t="s">
        <v>49</v>
      </c>
      <c r="F1429" s="7" t="s">
        <v>50</v>
      </c>
      <c r="G1429" s="64">
        <f>G1430+G1439+G1448+G1471</f>
        <v>14602.58</v>
      </c>
      <c r="H1429" s="111"/>
      <c r="I1429" s="112"/>
      <c r="J1429" s="111"/>
      <c r="K1429" s="76"/>
      <c r="L1429" s="75"/>
      <c r="M1429" s="75"/>
      <c r="AG1429" s="75"/>
      <c r="AH1429" s="75"/>
    </row>
    <row r="1430" spans="1:118" ht="44.25" hidden="1" customHeight="1" x14ac:dyDescent="0.3">
      <c r="A1430" s="138" t="s">
        <v>38</v>
      </c>
      <c r="B1430" s="12" t="s">
        <v>285</v>
      </c>
      <c r="C1430" s="6">
        <v>10</v>
      </c>
      <c r="D1430" s="6" t="s">
        <v>121</v>
      </c>
      <c r="E1430" s="13" t="s">
        <v>400</v>
      </c>
      <c r="F1430" s="12" t="s">
        <v>50</v>
      </c>
      <c r="G1430" s="32">
        <f>G1431</f>
        <v>0</v>
      </c>
      <c r="H1430" s="124"/>
      <c r="I1430" s="125"/>
      <c r="J1430" s="124"/>
      <c r="K1430" s="76"/>
      <c r="L1430" s="75"/>
      <c r="M1430" s="75"/>
      <c r="AG1430" s="75"/>
      <c r="AH1430" s="75"/>
    </row>
    <row r="1431" spans="1:118" ht="56.25" hidden="1" x14ac:dyDescent="0.3">
      <c r="A1431" s="151" t="s">
        <v>138</v>
      </c>
      <c r="B1431" s="12" t="s">
        <v>285</v>
      </c>
      <c r="C1431" s="6">
        <v>10</v>
      </c>
      <c r="D1431" s="6" t="s">
        <v>121</v>
      </c>
      <c r="E1431" s="13" t="s">
        <v>51</v>
      </c>
      <c r="F1431" s="12" t="s">
        <v>50</v>
      </c>
      <c r="G1431" s="32">
        <f>G1432+G1435</f>
        <v>0</v>
      </c>
      <c r="H1431" s="124"/>
      <c r="I1431" s="125"/>
      <c r="J1431" s="124"/>
      <c r="K1431" s="76"/>
      <c r="L1431" s="75"/>
      <c r="M1431" s="75"/>
      <c r="AG1431" s="75"/>
      <c r="AH1431" s="75"/>
      <c r="AK1431" s="75">
        <v>0</v>
      </c>
    </row>
    <row r="1432" spans="1:118" ht="38.25" hidden="1" customHeight="1" x14ac:dyDescent="0.3">
      <c r="A1432" s="138" t="s">
        <v>52</v>
      </c>
      <c r="B1432" s="12" t="s">
        <v>285</v>
      </c>
      <c r="C1432" s="6">
        <v>10</v>
      </c>
      <c r="D1432" s="6" t="s">
        <v>121</v>
      </c>
      <c r="E1432" s="12" t="s">
        <v>53</v>
      </c>
      <c r="F1432" s="12" t="s">
        <v>50</v>
      </c>
      <c r="G1432" s="53">
        <f>G1433+G1438</f>
        <v>0</v>
      </c>
      <c r="H1432" s="111"/>
      <c r="I1432" s="112"/>
      <c r="J1432" s="111"/>
      <c r="K1432" s="76"/>
      <c r="L1432" s="75"/>
      <c r="M1432" s="75"/>
      <c r="AG1432" s="75"/>
      <c r="AH1432" s="75"/>
    </row>
    <row r="1433" spans="1:118" hidden="1" x14ac:dyDescent="0.3">
      <c r="A1433" s="138" t="s">
        <v>74</v>
      </c>
      <c r="B1433" s="12" t="s">
        <v>285</v>
      </c>
      <c r="C1433" s="6">
        <v>10</v>
      </c>
      <c r="D1433" s="6" t="s">
        <v>121</v>
      </c>
      <c r="E1433" s="12" t="s">
        <v>42</v>
      </c>
      <c r="F1433" s="12" t="s">
        <v>50</v>
      </c>
      <c r="G1433" s="53">
        <f>G1434</f>
        <v>0</v>
      </c>
      <c r="H1433" s="111"/>
      <c r="I1433" s="112"/>
      <c r="J1433" s="111"/>
      <c r="K1433" s="76"/>
      <c r="L1433" s="75"/>
      <c r="M1433" s="75"/>
      <c r="AG1433" s="75"/>
      <c r="AH1433" s="75"/>
    </row>
    <row r="1434" spans="1:118" ht="42" hidden="1" customHeight="1" x14ac:dyDescent="0.3">
      <c r="A1434" s="138" t="s">
        <v>264</v>
      </c>
      <c r="B1434" s="12" t="s">
        <v>285</v>
      </c>
      <c r="C1434" s="6">
        <v>10</v>
      </c>
      <c r="D1434" s="6" t="s">
        <v>121</v>
      </c>
      <c r="E1434" s="12" t="s">
        <v>42</v>
      </c>
      <c r="F1434" s="12" t="s">
        <v>261</v>
      </c>
      <c r="G1434" s="53">
        <v>0</v>
      </c>
      <c r="H1434" s="111"/>
      <c r="I1434" s="112"/>
      <c r="J1434" s="111"/>
      <c r="K1434" s="76"/>
      <c r="L1434" s="75">
        <v>-1.4</v>
      </c>
      <c r="M1434" s="75"/>
      <c r="AG1434" s="75"/>
      <c r="AH1434" s="75"/>
    </row>
    <row r="1435" spans="1:118" ht="42" hidden="1" customHeight="1" x14ac:dyDescent="0.3">
      <c r="A1435" s="138" t="s">
        <v>68</v>
      </c>
      <c r="B1435" s="11">
        <v>936</v>
      </c>
      <c r="C1435" s="6">
        <v>10</v>
      </c>
      <c r="D1435" s="6" t="s">
        <v>121</v>
      </c>
      <c r="E1435" s="12" t="s">
        <v>69</v>
      </c>
      <c r="F1435" s="12" t="s">
        <v>50</v>
      </c>
      <c r="G1435" s="53">
        <f>G1436</f>
        <v>0</v>
      </c>
      <c r="H1435" s="111"/>
      <c r="I1435" s="112"/>
      <c r="J1435" s="111"/>
      <c r="K1435" s="76"/>
      <c r="L1435" s="75"/>
      <c r="M1435" s="75"/>
      <c r="AG1435" s="75"/>
      <c r="AH1435" s="75"/>
    </row>
    <row r="1436" spans="1:118" ht="96" hidden="1" customHeight="1" x14ac:dyDescent="0.3">
      <c r="A1436" s="138" t="s">
        <v>76</v>
      </c>
      <c r="B1436" s="11">
        <v>936</v>
      </c>
      <c r="C1436" s="6">
        <v>10</v>
      </c>
      <c r="D1436" s="6" t="s">
        <v>121</v>
      </c>
      <c r="E1436" s="12" t="s">
        <v>41</v>
      </c>
      <c r="F1436" s="12" t="s">
        <v>50</v>
      </c>
      <c r="G1436" s="53">
        <f>G1437</f>
        <v>0</v>
      </c>
      <c r="H1436" s="111"/>
      <c r="I1436" s="112"/>
      <c r="J1436" s="111"/>
      <c r="K1436" s="76"/>
      <c r="L1436" s="75"/>
      <c r="M1436" s="75"/>
      <c r="AG1436" s="75"/>
      <c r="AH1436" s="75"/>
    </row>
    <row r="1437" spans="1:118" ht="42" hidden="1" customHeight="1" x14ac:dyDescent="0.3">
      <c r="A1437" s="138" t="s">
        <v>264</v>
      </c>
      <c r="B1437" s="11">
        <v>936</v>
      </c>
      <c r="C1437" s="6">
        <v>10</v>
      </c>
      <c r="D1437" s="6" t="s">
        <v>121</v>
      </c>
      <c r="E1437" s="12" t="s">
        <v>41</v>
      </c>
      <c r="F1437" s="12" t="s">
        <v>261</v>
      </c>
      <c r="G1437" s="53">
        <v>0</v>
      </c>
      <c r="H1437" s="111"/>
      <c r="I1437" s="112"/>
      <c r="J1437" s="111"/>
      <c r="K1437" s="76"/>
      <c r="L1437" s="75"/>
      <c r="M1437" s="75"/>
      <c r="AG1437" s="75"/>
      <c r="AH1437" s="75"/>
    </row>
    <row r="1438" spans="1:118" ht="30" hidden="1" customHeight="1" x14ac:dyDescent="0.3">
      <c r="A1438" s="138" t="s">
        <v>559</v>
      </c>
      <c r="B1438" s="12" t="s">
        <v>285</v>
      </c>
      <c r="C1438" s="12" t="s">
        <v>169</v>
      </c>
      <c r="D1438" s="12" t="s">
        <v>121</v>
      </c>
      <c r="E1438" s="12" t="s">
        <v>561</v>
      </c>
      <c r="F1438" s="12" t="s">
        <v>261</v>
      </c>
      <c r="G1438" s="53">
        <v>0</v>
      </c>
      <c r="H1438" s="111"/>
      <c r="I1438" s="112"/>
      <c r="J1438" s="111"/>
      <c r="K1438" s="76"/>
      <c r="L1438" s="75">
        <v>1.4</v>
      </c>
      <c r="M1438" s="75"/>
      <c r="AG1438" s="75"/>
      <c r="AH1438" s="75"/>
      <c r="AK1438" s="75">
        <v>0</v>
      </c>
    </row>
    <row r="1439" spans="1:118" ht="48.75" hidden="1" customHeight="1" x14ac:dyDescent="0.3">
      <c r="A1439" s="151" t="s">
        <v>158</v>
      </c>
      <c r="B1439" s="11">
        <v>936</v>
      </c>
      <c r="C1439" s="6">
        <v>10</v>
      </c>
      <c r="D1439" s="6" t="s">
        <v>121</v>
      </c>
      <c r="E1439" s="13" t="s">
        <v>85</v>
      </c>
      <c r="F1439" s="12" t="s">
        <v>50</v>
      </c>
      <c r="G1439" s="53">
        <f>G1440+G1444</f>
        <v>0</v>
      </c>
      <c r="H1439" s="111"/>
      <c r="I1439" s="112"/>
      <c r="J1439" s="111"/>
      <c r="K1439" s="76"/>
      <c r="L1439" s="75"/>
      <c r="M1439" s="75"/>
      <c r="AG1439" s="75"/>
      <c r="AH1439" s="75"/>
    </row>
    <row r="1440" spans="1:118" ht="56.25" hidden="1" x14ac:dyDescent="0.3">
      <c r="A1440" s="151" t="s">
        <v>142</v>
      </c>
      <c r="B1440" s="11">
        <v>936</v>
      </c>
      <c r="C1440" s="6">
        <v>10</v>
      </c>
      <c r="D1440" s="6" t="s">
        <v>121</v>
      </c>
      <c r="E1440" s="13" t="s">
        <v>86</v>
      </c>
      <c r="F1440" s="12" t="s">
        <v>50</v>
      </c>
      <c r="G1440" s="53">
        <f>G1441</f>
        <v>0</v>
      </c>
      <c r="H1440" s="111"/>
      <c r="I1440" s="112"/>
      <c r="J1440" s="111"/>
      <c r="K1440" s="76"/>
      <c r="L1440" s="75"/>
      <c r="M1440" s="75"/>
      <c r="AG1440" s="75"/>
      <c r="AH1440" s="75"/>
    </row>
    <row r="1441" spans="1:95" ht="37.5" hidden="1" x14ac:dyDescent="0.3">
      <c r="A1441" s="138" t="s">
        <v>52</v>
      </c>
      <c r="B1441" s="11">
        <v>936</v>
      </c>
      <c r="C1441" s="6">
        <v>10</v>
      </c>
      <c r="D1441" s="6" t="s">
        <v>121</v>
      </c>
      <c r="E1441" s="12" t="s">
        <v>305</v>
      </c>
      <c r="F1441" s="12" t="s">
        <v>50</v>
      </c>
      <c r="G1441" s="53">
        <f>G1442</f>
        <v>0</v>
      </c>
      <c r="H1441" s="111"/>
      <c r="I1441" s="112"/>
      <c r="J1441" s="111"/>
      <c r="K1441" s="76"/>
      <c r="L1441" s="75"/>
      <c r="M1441" s="75"/>
      <c r="AG1441" s="75"/>
      <c r="AH1441" s="75"/>
    </row>
    <row r="1442" spans="1:95" hidden="1" x14ac:dyDescent="0.3">
      <c r="A1442" s="138" t="s">
        <v>304</v>
      </c>
      <c r="B1442" s="11">
        <v>936</v>
      </c>
      <c r="C1442" s="6">
        <v>10</v>
      </c>
      <c r="D1442" s="6" t="s">
        <v>121</v>
      </c>
      <c r="E1442" s="12" t="s">
        <v>306</v>
      </c>
      <c r="F1442" s="12" t="s">
        <v>50</v>
      </c>
      <c r="G1442" s="53">
        <f>G1443</f>
        <v>0</v>
      </c>
      <c r="H1442" s="111"/>
      <c r="I1442" s="112"/>
      <c r="J1442" s="111"/>
      <c r="K1442" s="76"/>
      <c r="L1442" s="75"/>
      <c r="M1442" s="75"/>
      <c r="AG1442" s="75"/>
      <c r="AH1442" s="75"/>
    </row>
    <row r="1443" spans="1:95" ht="41.25" hidden="1" customHeight="1" x14ac:dyDescent="0.3">
      <c r="A1443" s="138" t="s">
        <v>264</v>
      </c>
      <c r="B1443" s="11">
        <v>936</v>
      </c>
      <c r="C1443" s="6">
        <v>10</v>
      </c>
      <c r="D1443" s="6" t="s">
        <v>121</v>
      </c>
      <c r="E1443" s="12" t="s">
        <v>306</v>
      </c>
      <c r="F1443" s="12" t="s">
        <v>261</v>
      </c>
      <c r="G1443" s="53">
        <v>0</v>
      </c>
      <c r="H1443" s="111"/>
      <c r="I1443" s="112"/>
      <c r="J1443" s="111"/>
      <c r="K1443" s="76"/>
      <c r="L1443" s="75"/>
      <c r="M1443" s="75"/>
      <c r="AG1443" s="75"/>
      <c r="AH1443" s="75"/>
      <c r="AK1443" s="75">
        <v>0.9</v>
      </c>
    </row>
    <row r="1444" spans="1:95" ht="41.25" hidden="1" customHeight="1" outlineLevel="1" x14ac:dyDescent="0.3">
      <c r="A1444" s="200" t="s">
        <v>214</v>
      </c>
      <c r="B1444" s="11">
        <v>936</v>
      </c>
      <c r="C1444" s="6">
        <v>10</v>
      </c>
      <c r="D1444" s="6" t="s">
        <v>121</v>
      </c>
      <c r="E1444" s="12" t="s">
        <v>89</v>
      </c>
      <c r="F1444" s="12" t="s">
        <v>50</v>
      </c>
      <c r="G1444" s="53">
        <f>G1445</f>
        <v>0</v>
      </c>
      <c r="H1444" s="111"/>
      <c r="I1444" s="112"/>
      <c r="J1444" s="111"/>
      <c r="K1444" s="76"/>
      <c r="L1444" s="75"/>
      <c r="M1444" s="75"/>
      <c r="AG1444" s="75"/>
      <c r="AH1444" s="75"/>
    </row>
    <row r="1445" spans="1:95" ht="41.25" hidden="1" customHeight="1" outlineLevel="1" x14ac:dyDescent="0.3">
      <c r="A1445" s="138" t="s">
        <v>52</v>
      </c>
      <c r="B1445" s="11">
        <v>936</v>
      </c>
      <c r="C1445" s="6">
        <v>10</v>
      </c>
      <c r="D1445" s="6" t="s">
        <v>121</v>
      </c>
      <c r="E1445" s="12" t="s">
        <v>216</v>
      </c>
      <c r="F1445" s="12" t="s">
        <v>50</v>
      </c>
      <c r="G1445" s="53">
        <f>G1446</f>
        <v>0</v>
      </c>
      <c r="H1445" s="111"/>
      <c r="I1445" s="112"/>
      <c r="J1445" s="111"/>
      <c r="K1445" s="76"/>
      <c r="L1445" s="75"/>
      <c r="M1445" s="75"/>
      <c r="AG1445" s="75"/>
      <c r="AH1445" s="75"/>
    </row>
    <row r="1446" spans="1:95" ht="25.5" hidden="1" customHeight="1" outlineLevel="1" x14ac:dyDescent="0.3">
      <c r="A1446" s="138" t="s">
        <v>215</v>
      </c>
      <c r="B1446" s="11">
        <v>936</v>
      </c>
      <c r="C1446" s="6">
        <v>10</v>
      </c>
      <c r="D1446" s="6" t="s">
        <v>121</v>
      </c>
      <c r="E1446" s="12" t="s">
        <v>217</v>
      </c>
      <c r="F1446" s="12" t="s">
        <v>50</v>
      </c>
      <c r="G1446" s="53">
        <f>G1447</f>
        <v>0</v>
      </c>
      <c r="H1446" s="111"/>
      <c r="I1446" s="112"/>
      <c r="J1446" s="111"/>
      <c r="K1446" s="76"/>
      <c r="L1446" s="75"/>
      <c r="M1446" s="75"/>
      <c r="AG1446" s="75"/>
      <c r="AH1446" s="75"/>
    </row>
    <row r="1447" spans="1:95" ht="98.25" hidden="1" customHeight="1" outlineLevel="1" x14ac:dyDescent="0.3">
      <c r="A1447" s="138" t="s">
        <v>56</v>
      </c>
      <c r="B1447" s="11">
        <v>936</v>
      </c>
      <c r="C1447" s="6">
        <v>10</v>
      </c>
      <c r="D1447" s="6" t="s">
        <v>121</v>
      </c>
      <c r="E1447" s="12" t="s">
        <v>217</v>
      </c>
      <c r="F1447" s="12" t="s">
        <v>57</v>
      </c>
      <c r="G1447" s="53">
        <f>0.7-0.7</f>
        <v>0</v>
      </c>
      <c r="H1447" s="111"/>
      <c r="I1447" s="112"/>
      <c r="J1447" s="111"/>
      <c r="K1447" s="76"/>
      <c r="L1447" s="75"/>
      <c r="M1447" s="75"/>
      <c r="AG1447" s="75"/>
      <c r="AH1447" s="75"/>
    </row>
    <row r="1448" spans="1:95" ht="56.25" collapsed="1" x14ac:dyDescent="0.3">
      <c r="A1448" s="151" t="s">
        <v>0</v>
      </c>
      <c r="B1448" s="11">
        <v>936</v>
      </c>
      <c r="C1448" s="6" t="s">
        <v>169</v>
      </c>
      <c r="D1448" s="6" t="s">
        <v>121</v>
      </c>
      <c r="E1448" s="13" t="s">
        <v>92</v>
      </c>
      <c r="F1448" s="12" t="s">
        <v>50</v>
      </c>
      <c r="G1448" s="53">
        <f>G1449+G1463</f>
        <v>14602.58</v>
      </c>
      <c r="H1448" s="111"/>
      <c r="I1448" s="112"/>
      <c r="J1448" s="111"/>
      <c r="K1448" s="76"/>
      <c r="L1448" s="75"/>
      <c r="M1448" s="75"/>
      <c r="AG1448" s="75"/>
      <c r="AH1448" s="75"/>
    </row>
    <row r="1449" spans="1:95" ht="63.75" customHeight="1" x14ac:dyDescent="0.3">
      <c r="A1449" s="151" t="s">
        <v>3</v>
      </c>
      <c r="B1449" s="11">
        <v>936</v>
      </c>
      <c r="C1449" s="6" t="s">
        <v>169</v>
      </c>
      <c r="D1449" s="6" t="s">
        <v>121</v>
      </c>
      <c r="E1449" s="13" t="s">
        <v>94</v>
      </c>
      <c r="F1449" s="12" t="s">
        <v>50</v>
      </c>
      <c r="G1449" s="53">
        <f>G1450+G1456+G1459+G1461</f>
        <v>11574.4</v>
      </c>
      <c r="H1449" s="111"/>
      <c r="I1449" s="112"/>
      <c r="J1449" s="111"/>
      <c r="K1449" s="76"/>
      <c r="L1449" s="75"/>
      <c r="M1449" s="75"/>
      <c r="AG1449" s="75"/>
      <c r="AH1449" s="75"/>
    </row>
    <row r="1450" spans="1:95" ht="78" customHeight="1" x14ac:dyDescent="0.3">
      <c r="A1450" s="138" t="s">
        <v>173</v>
      </c>
      <c r="B1450" s="11">
        <v>936</v>
      </c>
      <c r="C1450" s="6" t="s">
        <v>169</v>
      </c>
      <c r="D1450" s="6" t="s">
        <v>121</v>
      </c>
      <c r="E1450" s="12" t="s">
        <v>177</v>
      </c>
      <c r="F1450" s="12" t="s">
        <v>50</v>
      </c>
      <c r="G1450" s="53">
        <f>G1451</f>
        <v>57.6</v>
      </c>
      <c r="H1450" s="111"/>
      <c r="I1450" s="112"/>
      <c r="J1450" s="111"/>
      <c r="K1450" s="76"/>
      <c r="L1450" s="75"/>
      <c r="M1450" s="75"/>
      <c r="AG1450" s="75"/>
      <c r="AH1450" s="75"/>
    </row>
    <row r="1451" spans="1:95" ht="179.25" customHeight="1" x14ac:dyDescent="0.3">
      <c r="A1451" s="138" t="s">
        <v>320</v>
      </c>
      <c r="B1451" s="11">
        <v>936</v>
      </c>
      <c r="C1451" s="6" t="s">
        <v>169</v>
      </c>
      <c r="D1451" s="6" t="s">
        <v>121</v>
      </c>
      <c r="E1451" s="12" t="s">
        <v>1141</v>
      </c>
      <c r="F1451" s="12" t="s">
        <v>50</v>
      </c>
      <c r="G1451" s="53">
        <f>G1452+G1454</f>
        <v>57.6</v>
      </c>
      <c r="H1451" s="111"/>
      <c r="I1451" s="112"/>
      <c r="J1451" s="111"/>
      <c r="K1451" s="76"/>
      <c r="L1451" s="75"/>
      <c r="M1451" s="75"/>
      <c r="AG1451" s="75"/>
      <c r="AH1451" s="75"/>
    </row>
    <row r="1452" spans="1:95" ht="37.5" hidden="1" x14ac:dyDescent="0.3">
      <c r="A1452" s="169" t="s">
        <v>321</v>
      </c>
      <c r="B1452" s="11">
        <v>936</v>
      </c>
      <c r="C1452" s="6" t="s">
        <v>169</v>
      </c>
      <c r="D1452" s="6" t="s">
        <v>121</v>
      </c>
      <c r="E1452" s="12" t="s">
        <v>324</v>
      </c>
      <c r="F1452" s="12" t="s">
        <v>50</v>
      </c>
      <c r="G1452" s="53">
        <f>G1453</f>
        <v>0</v>
      </c>
      <c r="H1452" s="111"/>
      <c r="I1452" s="112"/>
      <c r="J1452" s="111"/>
      <c r="K1452" s="76"/>
      <c r="L1452" s="75"/>
      <c r="M1452" s="75"/>
      <c r="AG1452" s="75"/>
      <c r="AH1452" s="75"/>
    </row>
    <row r="1453" spans="1:95" ht="37.5" hidden="1" x14ac:dyDescent="0.3">
      <c r="A1453" s="138" t="s">
        <v>425</v>
      </c>
      <c r="B1453" s="11">
        <v>936</v>
      </c>
      <c r="C1453" s="6" t="s">
        <v>169</v>
      </c>
      <c r="D1453" s="6" t="s">
        <v>121</v>
      </c>
      <c r="E1453" s="12" t="s">
        <v>324</v>
      </c>
      <c r="F1453" s="12" t="s">
        <v>59</v>
      </c>
      <c r="G1453" s="53">
        <v>0</v>
      </c>
      <c r="H1453" s="111"/>
      <c r="I1453" s="112"/>
      <c r="J1453" s="111"/>
      <c r="K1453" s="76"/>
      <c r="L1453" s="75"/>
      <c r="M1453" s="75"/>
      <c r="AG1453" s="75"/>
      <c r="AH1453" s="75"/>
    </row>
    <row r="1454" spans="1:95" x14ac:dyDescent="0.3">
      <c r="A1454" s="169" t="s">
        <v>322</v>
      </c>
      <c r="B1454" s="11">
        <v>936</v>
      </c>
      <c r="C1454" s="6" t="s">
        <v>169</v>
      </c>
      <c r="D1454" s="6" t="s">
        <v>121</v>
      </c>
      <c r="E1454" s="12" t="s">
        <v>1142</v>
      </c>
      <c r="F1454" s="12" t="s">
        <v>50</v>
      </c>
      <c r="G1454" s="53">
        <f>G1455</f>
        <v>57.6</v>
      </c>
      <c r="H1454" s="111"/>
      <c r="I1454" s="112"/>
      <c r="J1454" s="111"/>
      <c r="K1454" s="76"/>
      <c r="L1454" s="75"/>
      <c r="M1454" s="75"/>
      <c r="AG1454" s="75"/>
      <c r="AH1454" s="75"/>
    </row>
    <row r="1455" spans="1:95" ht="37.5" x14ac:dyDescent="0.3">
      <c r="A1455" s="138" t="s">
        <v>425</v>
      </c>
      <c r="B1455" s="11">
        <v>936</v>
      </c>
      <c r="C1455" s="6" t="s">
        <v>169</v>
      </c>
      <c r="D1455" s="6" t="s">
        <v>121</v>
      </c>
      <c r="E1455" s="12" t="s">
        <v>1142</v>
      </c>
      <c r="F1455" s="12" t="s">
        <v>59</v>
      </c>
      <c r="G1455" s="68">
        <f>CQ1455</f>
        <v>57.6</v>
      </c>
      <c r="H1455" s="111"/>
      <c r="I1455" s="112">
        <v>42.9</v>
      </c>
      <c r="J1455" s="111"/>
      <c r="K1455" s="76"/>
      <c r="L1455" s="75"/>
      <c r="M1455" s="75"/>
      <c r="AG1455" s="75"/>
      <c r="AH1455" s="75"/>
      <c r="AK1455" s="75">
        <v>51</v>
      </c>
      <c r="BK1455" s="218">
        <v>-12.9</v>
      </c>
      <c r="BL1455" s="187">
        <v>0.1</v>
      </c>
      <c r="BO1455" s="230">
        <v>51.5</v>
      </c>
      <c r="CQ1455" s="94">
        <v>57.6</v>
      </c>
    </row>
    <row r="1456" spans="1:95" ht="117.75" customHeight="1" x14ac:dyDescent="0.3">
      <c r="A1456" s="169" t="s">
        <v>612</v>
      </c>
      <c r="B1456" s="11">
        <v>936</v>
      </c>
      <c r="C1456" s="6" t="s">
        <v>169</v>
      </c>
      <c r="D1456" s="6" t="s">
        <v>121</v>
      </c>
      <c r="E1456" s="34" t="s">
        <v>1140</v>
      </c>
      <c r="F1456" s="34" t="s">
        <v>50</v>
      </c>
      <c r="G1456" s="53">
        <f>G1457</f>
        <v>10084.403969999999</v>
      </c>
      <c r="H1456" s="111"/>
      <c r="I1456" s="112"/>
      <c r="J1456" s="111"/>
      <c r="K1456" s="76"/>
      <c r="L1456" s="75"/>
      <c r="M1456" s="75"/>
      <c r="AG1456" s="75"/>
      <c r="AH1456" s="75"/>
    </row>
    <row r="1457" spans="1:102" hidden="1" x14ac:dyDescent="0.3">
      <c r="A1457" s="169" t="s">
        <v>323</v>
      </c>
      <c r="B1457" s="11">
        <v>936</v>
      </c>
      <c r="C1457" s="6" t="s">
        <v>169</v>
      </c>
      <c r="D1457" s="6" t="s">
        <v>121</v>
      </c>
      <c r="E1457" s="34" t="s">
        <v>325</v>
      </c>
      <c r="F1457" s="34" t="s">
        <v>50</v>
      </c>
      <c r="G1457" s="53">
        <f>G1458</f>
        <v>10084.403969999999</v>
      </c>
      <c r="H1457" s="111"/>
      <c r="I1457" s="112"/>
      <c r="J1457" s="111"/>
      <c r="K1457" s="76"/>
      <c r="L1457" s="75"/>
      <c r="M1457" s="75"/>
      <c r="AG1457" s="75"/>
      <c r="AH1457" s="75"/>
    </row>
    <row r="1458" spans="1:102" ht="56.25" x14ac:dyDescent="0.3">
      <c r="A1458" s="138" t="s">
        <v>290</v>
      </c>
      <c r="B1458" s="11">
        <v>936</v>
      </c>
      <c r="C1458" s="6" t="s">
        <v>169</v>
      </c>
      <c r="D1458" s="6" t="s">
        <v>121</v>
      </c>
      <c r="E1458" s="34" t="s">
        <v>1140</v>
      </c>
      <c r="F1458" s="12" t="s">
        <v>291</v>
      </c>
      <c r="G1458" s="53">
        <f>CQ1458+CX1458</f>
        <v>10084.403969999999</v>
      </c>
      <c r="H1458" s="111"/>
      <c r="I1458" s="112">
        <v>8580</v>
      </c>
      <c r="J1458" s="111"/>
      <c r="K1458" s="76"/>
      <c r="L1458" s="75"/>
      <c r="M1458" s="75"/>
      <c r="T1458">
        <v>-3919.5</v>
      </c>
      <c r="AG1458" s="75"/>
      <c r="AH1458" s="75"/>
      <c r="AK1458" s="75">
        <v>10190.700000000001</v>
      </c>
      <c r="BK1458" s="218">
        <v>-2573.9</v>
      </c>
      <c r="BL1458" s="187">
        <v>-0.1</v>
      </c>
      <c r="BO1458" s="230">
        <v>10296</v>
      </c>
      <c r="CQ1458" s="94">
        <v>11516.8</v>
      </c>
      <c r="CX1458" s="260">
        <v>-1432.3960300000001</v>
      </c>
    </row>
    <row r="1459" spans="1:102" ht="131.25" hidden="1" x14ac:dyDescent="0.3">
      <c r="A1459" s="169" t="s">
        <v>612</v>
      </c>
      <c r="B1459" s="11">
        <v>936</v>
      </c>
      <c r="C1459" s="6" t="s">
        <v>169</v>
      </c>
      <c r="D1459" s="6" t="s">
        <v>121</v>
      </c>
      <c r="E1459" s="89" t="s">
        <v>613</v>
      </c>
      <c r="F1459" s="34" t="s">
        <v>50</v>
      </c>
      <c r="G1459" s="53">
        <f>G1460</f>
        <v>0</v>
      </c>
      <c r="H1459" s="111"/>
      <c r="I1459" s="112"/>
      <c r="J1459" s="111"/>
      <c r="K1459" s="76"/>
      <c r="L1459" s="75"/>
      <c r="M1459" s="75"/>
      <c r="AG1459" s="75"/>
      <c r="AH1459" s="75"/>
    </row>
    <row r="1460" spans="1:102" ht="56.25" hidden="1" x14ac:dyDescent="0.3">
      <c r="A1460" s="138" t="s">
        <v>290</v>
      </c>
      <c r="B1460" s="11">
        <v>936</v>
      </c>
      <c r="C1460" s="6" t="s">
        <v>169</v>
      </c>
      <c r="D1460" s="6" t="s">
        <v>121</v>
      </c>
      <c r="E1460" s="89" t="s">
        <v>613</v>
      </c>
      <c r="F1460" s="12" t="s">
        <v>291</v>
      </c>
      <c r="G1460" s="53">
        <v>0</v>
      </c>
      <c r="H1460" s="111"/>
      <c r="I1460" s="112"/>
      <c r="J1460" s="111"/>
      <c r="K1460" s="76"/>
      <c r="L1460" s="75"/>
      <c r="M1460" s="75"/>
      <c r="T1460">
        <v>3919.5</v>
      </c>
      <c r="AG1460" s="75"/>
      <c r="AH1460" s="75"/>
      <c r="AK1460" s="75">
        <v>0</v>
      </c>
    </row>
    <row r="1461" spans="1:102" ht="145.5" customHeight="1" x14ac:dyDescent="0.3">
      <c r="A1461" s="169" t="s">
        <v>612</v>
      </c>
      <c r="B1461" s="11">
        <v>936</v>
      </c>
      <c r="C1461" s="6" t="s">
        <v>169</v>
      </c>
      <c r="D1461" s="6" t="s">
        <v>121</v>
      </c>
      <c r="E1461" s="34" t="s">
        <v>1145</v>
      </c>
      <c r="F1461" s="34" t="s">
        <v>50</v>
      </c>
      <c r="G1461" s="53">
        <f>G1462</f>
        <v>1432.3960300000001</v>
      </c>
      <c r="H1461" s="111"/>
      <c r="I1461" s="112"/>
      <c r="J1461" s="111"/>
      <c r="K1461" s="76"/>
      <c r="L1461" s="75"/>
      <c r="M1461" s="75"/>
      <c r="AG1461" s="75"/>
      <c r="AH1461" s="75"/>
    </row>
    <row r="1462" spans="1:102" ht="37.5" customHeight="1" x14ac:dyDescent="0.3">
      <c r="A1462" s="169" t="s">
        <v>323</v>
      </c>
      <c r="B1462" s="11">
        <v>936</v>
      </c>
      <c r="C1462" s="6" t="s">
        <v>169</v>
      </c>
      <c r="D1462" s="6" t="s">
        <v>121</v>
      </c>
      <c r="E1462" s="34" t="s">
        <v>1145</v>
      </c>
      <c r="F1462" s="12" t="s">
        <v>291</v>
      </c>
      <c r="G1462" s="53">
        <f>CX1462</f>
        <v>1432.3960300000001</v>
      </c>
      <c r="H1462" s="111"/>
      <c r="I1462" s="112"/>
      <c r="J1462" s="111"/>
      <c r="K1462" s="76"/>
      <c r="L1462" s="75"/>
      <c r="M1462" s="75"/>
      <c r="AG1462" s="75"/>
      <c r="AH1462" s="75"/>
      <c r="CX1462" s="260">
        <v>1432.3960300000001</v>
      </c>
    </row>
    <row r="1463" spans="1:102" ht="80.25" customHeight="1" x14ac:dyDescent="0.3">
      <c r="A1463" s="138" t="s">
        <v>290</v>
      </c>
      <c r="B1463" s="11">
        <v>936</v>
      </c>
      <c r="C1463" s="6" t="s">
        <v>169</v>
      </c>
      <c r="D1463" s="6" t="s">
        <v>121</v>
      </c>
      <c r="E1463" s="89" t="s">
        <v>450</v>
      </c>
      <c r="F1463" s="12" t="s">
        <v>50</v>
      </c>
      <c r="G1463" s="53">
        <f>G1466+G1464+G1482</f>
        <v>3028.18</v>
      </c>
      <c r="H1463" s="111"/>
      <c r="I1463" s="112"/>
      <c r="J1463" s="111"/>
      <c r="K1463" s="76"/>
      <c r="L1463" s="75"/>
      <c r="M1463" s="75"/>
      <c r="AG1463" s="75"/>
      <c r="AH1463" s="75"/>
    </row>
    <row r="1464" spans="1:102" ht="44.25" hidden="1" customHeight="1" x14ac:dyDescent="0.3">
      <c r="A1464" s="227" t="s">
        <v>168</v>
      </c>
      <c r="B1464" s="11">
        <v>936</v>
      </c>
      <c r="C1464" s="6" t="s">
        <v>169</v>
      </c>
      <c r="D1464" s="6" t="s">
        <v>121</v>
      </c>
      <c r="E1464" s="89" t="s">
        <v>791</v>
      </c>
      <c r="F1464" s="12" t="s">
        <v>50</v>
      </c>
      <c r="G1464" s="53">
        <f>G1465</f>
        <v>0</v>
      </c>
      <c r="H1464" s="111"/>
      <c r="I1464" s="112"/>
      <c r="J1464" s="111"/>
      <c r="K1464" s="76"/>
      <c r="L1464" s="75"/>
      <c r="M1464" s="75"/>
      <c r="AG1464" s="75"/>
      <c r="AH1464" s="75"/>
    </row>
    <row r="1465" spans="1:102" ht="44.25" hidden="1" customHeight="1" x14ac:dyDescent="0.3">
      <c r="A1465" s="138" t="s">
        <v>425</v>
      </c>
      <c r="B1465" s="11">
        <v>936</v>
      </c>
      <c r="C1465" s="6" t="s">
        <v>169</v>
      </c>
      <c r="D1465" s="6" t="s">
        <v>121</v>
      </c>
      <c r="E1465" s="89" t="s">
        <v>791</v>
      </c>
      <c r="F1465" s="12" t="s">
        <v>59</v>
      </c>
      <c r="G1465" s="53">
        <v>0</v>
      </c>
      <c r="H1465" s="111"/>
      <c r="I1465" s="112"/>
      <c r="J1465" s="111"/>
      <c r="K1465" s="76"/>
      <c r="L1465" s="75"/>
      <c r="M1465" s="75"/>
      <c r="AG1465" s="75"/>
      <c r="AH1465" s="75"/>
      <c r="BH1465" s="225">
        <v>221</v>
      </c>
      <c r="BK1465" s="218">
        <v>68</v>
      </c>
      <c r="BL1465" s="187">
        <v>85</v>
      </c>
      <c r="CB1465" s="218">
        <v>162.19999999999999</v>
      </c>
      <c r="CD1465" s="218">
        <v>-162.19999999999999</v>
      </c>
    </row>
    <row r="1466" spans="1:102" ht="37.5" hidden="1" x14ac:dyDescent="0.3">
      <c r="A1466" s="173" t="s">
        <v>68</v>
      </c>
      <c r="B1466" s="11">
        <v>936</v>
      </c>
      <c r="C1466" s="6" t="s">
        <v>169</v>
      </c>
      <c r="D1466" s="6" t="s">
        <v>121</v>
      </c>
      <c r="E1466" s="89" t="s">
        <v>627</v>
      </c>
      <c r="F1466" s="12" t="s">
        <v>50</v>
      </c>
      <c r="G1466" s="53">
        <f>G1469+G1467</f>
        <v>0</v>
      </c>
      <c r="H1466" s="111"/>
      <c r="I1466" s="112"/>
      <c r="J1466" s="111"/>
      <c r="K1466" s="76"/>
      <c r="L1466" s="75"/>
      <c r="M1466" s="75"/>
      <c r="AG1466" s="75"/>
      <c r="AH1466" s="75"/>
    </row>
    <row r="1467" spans="1:102" ht="83.25" hidden="1" customHeight="1" x14ac:dyDescent="0.3">
      <c r="A1467" s="224" t="s">
        <v>797</v>
      </c>
      <c r="B1467" s="11">
        <v>936</v>
      </c>
      <c r="C1467" s="6" t="s">
        <v>169</v>
      </c>
      <c r="D1467" s="6" t="s">
        <v>121</v>
      </c>
      <c r="E1467" s="89" t="s">
        <v>798</v>
      </c>
      <c r="F1467" s="12" t="s">
        <v>50</v>
      </c>
      <c r="G1467" s="53">
        <f>G1468</f>
        <v>0</v>
      </c>
      <c r="H1467" s="111"/>
      <c r="I1467" s="112"/>
      <c r="J1467" s="111"/>
      <c r="K1467" s="76"/>
      <c r="L1467" s="75"/>
      <c r="M1467" s="75"/>
      <c r="AG1467" s="75"/>
      <c r="AH1467" s="75"/>
    </row>
    <row r="1468" spans="1:102" ht="37.5" hidden="1" x14ac:dyDescent="0.3">
      <c r="A1468" s="138" t="s">
        <v>425</v>
      </c>
      <c r="B1468" s="11">
        <v>936</v>
      </c>
      <c r="C1468" s="6" t="s">
        <v>169</v>
      </c>
      <c r="D1468" s="6" t="s">
        <v>121</v>
      </c>
      <c r="E1468" s="89" t="s">
        <v>798</v>
      </c>
      <c r="F1468" s="12" t="s">
        <v>59</v>
      </c>
      <c r="G1468" s="53">
        <v>0</v>
      </c>
      <c r="H1468" s="111"/>
      <c r="I1468" s="112"/>
      <c r="J1468" s="111"/>
      <c r="K1468" s="76"/>
      <c r="L1468" s="75"/>
      <c r="M1468" s="75"/>
      <c r="AG1468" s="75"/>
      <c r="AH1468" s="75"/>
      <c r="BC1468" s="218">
        <v>150</v>
      </c>
      <c r="BL1468" s="187">
        <f>-150+150</f>
        <v>0</v>
      </c>
    </row>
    <row r="1469" spans="1:102" ht="93.75" hidden="1" x14ac:dyDescent="0.3">
      <c r="A1469" s="173" t="s">
        <v>628</v>
      </c>
      <c r="B1469" s="11">
        <v>936</v>
      </c>
      <c r="C1469" s="6" t="s">
        <v>169</v>
      </c>
      <c r="D1469" s="6" t="s">
        <v>121</v>
      </c>
      <c r="E1469" s="89" t="s">
        <v>629</v>
      </c>
      <c r="F1469" s="12" t="s">
        <v>50</v>
      </c>
      <c r="G1469" s="53">
        <f>G1470</f>
        <v>0</v>
      </c>
      <c r="H1469" s="111"/>
      <c r="I1469" s="112"/>
      <c r="J1469" s="111"/>
      <c r="K1469" s="76"/>
      <c r="L1469" s="75"/>
      <c r="M1469" s="75"/>
      <c r="AG1469" s="75"/>
      <c r="AH1469" s="75"/>
    </row>
    <row r="1470" spans="1:102" ht="37.5" hidden="1" x14ac:dyDescent="0.3">
      <c r="A1470" s="138" t="s">
        <v>175</v>
      </c>
      <c r="B1470" s="11">
        <v>936</v>
      </c>
      <c r="C1470" s="6" t="s">
        <v>169</v>
      </c>
      <c r="D1470" s="6" t="s">
        <v>121</v>
      </c>
      <c r="E1470" s="89" t="s">
        <v>629</v>
      </c>
      <c r="F1470" s="12" t="s">
        <v>176</v>
      </c>
      <c r="G1470" s="53">
        <v>0</v>
      </c>
      <c r="H1470" s="111"/>
      <c r="I1470" s="112"/>
      <c r="J1470" s="111"/>
      <c r="K1470" s="76"/>
      <c r="L1470" s="75"/>
      <c r="M1470" s="75"/>
      <c r="AG1470" s="75"/>
      <c r="AH1470" s="75"/>
      <c r="AK1470" s="75">
        <v>0</v>
      </c>
      <c r="AP1470" s="146">
        <v>538.5</v>
      </c>
    </row>
    <row r="1471" spans="1:102" ht="56.25" hidden="1" x14ac:dyDescent="0.3">
      <c r="A1471" s="170" t="s">
        <v>16</v>
      </c>
      <c r="B1471" s="11">
        <v>936</v>
      </c>
      <c r="C1471" s="6" t="s">
        <v>169</v>
      </c>
      <c r="D1471" s="6" t="s">
        <v>121</v>
      </c>
      <c r="E1471" s="12" t="s">
        <v>32</v>
      </c>
      <c r="F1471" s="12" t="s">
        <v>50</v>
      </c>
      <c r="G1471" s="53">
        <f>G1472+G1478</f>
        <v>0</v>
      </c>
      <c r="H1471" s="111"/>
      <c r="I1471" s="112"/>
      <c r="J1471" s="111"/>
      <c r="K1471" s="76"/>
      <c r="L1471" s="75"/>
      <c r="M1471" s="75"/>
      <c r="AG1471" s="75"/>
      <c r="AH1471" s="75"/>
    </row>
    <row r="1472" spans="1:102" ht="48" hidden="1" customHeight="1" x14ac:dyDescent="0.3">
      <c r="A1472" s="157" t="s">
        <v>18</v>
      </c>
      <c r="B1472" s="11">
        <v>936</v>
      </c>
      <c r="C1472" s="6" t="s">
        <v>169</v>
      </c>
      <c r="D1472" s="6" t="s">
        <v>121</v>
      </c>
      <c r="E1472" s="12" t="s">
        <v>34</v>
      </c>
      <c r="F1472" s="12" t="s">
        <v>50</v>
      </c>
      <c r="G1472" s="53">
        <f>G1473+G1476</f>
        <v>0</v>
      </c>
      <c r="H1472" s="111"/>
      <c r="I1472" s="112"/>
      <c r="J1472" s="111"/>
      <c r="K1472" s="76"/>
      <c r="L1472" s="75"/>
      <c r="M1472" s="75"/>
      <c r="AG1472" s="75"/>
      <c r="AH1472" s="75"/>
    </row>
    <row r="1473" spans="1:106" ht="75" hidden="1" x14ac:dyDescent="0.3">
      <c r="A1473" s="138" t="s">
        <v>103</v>
      </c>
      <c r="B1473" s="11">
        <v>936</v>
      </c>
      <c r="C1473" s="6" t="s">
        <v>169</v>
      </c>
      <c r="D1473" s="6" t="s">
        <v>121</v>
      </c>
      <c r="E1473" s="12" t="s">
        <v>36</v>
      </c>
      <c r="F1473" s="12" t="s">
        <v>50</v>
      </c>
      <c r="G1473" s="53">
        <f>G1474</f>
        <v>0</v>
      </c>
      <c r="H1473" s="111"/>
      <c r="I1473" s="112"/>
      <c r="J1473" s="111"/>
      <c r="K1473" s="76"/>
      <c r="L1473" s="75"/>
      <c r="M1473" s="75"/>
      <c r="AG1473" s="75"/>
      <c r="AH1473" s="75"/>
    </row>
    <row r="1474" spans="1:106" hidden="1" x14ac:dyDescent="0.3">
      <c r="A1474" s="138" t="s">
        <v>104</v>
      </c>
      <c r="B1474" s="11">
        <v>936</v>
      </c>
      <c r="C1474" s="6" t="s">
        <v>169</v>
      </c>
      <c r="D1474" s="6" t="s">
        <v>121</v>
      </c>
      <c r="E1474" s="12" t="s">
        <v>37</v>
      </c>
      <c r="F1474" s="12" t="s">
        <v>50</v>
      </c>
      <c r="G1474" s="53">
        <f>G1475</f>
        <v>0</v>
      </c>
      <c r="H1474" s="111"/>
      <c r="I1474" s="112"/>
      <c r="J1474" s="111"/>
      <c r="K1474" s="76"/>
      <c r="L1474" s="75"/>
      <c r="M1474" s="75"/>
      <c r="AG1474" s="75"/>
      <c r="AH1474" s="75"/>
    </row>
    <row r="1475" spans="1:106" ht="93.75" hidden="1" x14ac:dyDescent="0.3">
      <c r="A1475" s="138" t="s">
        <v>56</v>
      </c>
      <c r="B1475" s="11">
        <v>936</v>
      </c>
      <c r="C1475" s="6" t="s">
        <v>169</v>
      </c>
      <c r="D1475" s="6" t="s">
        <v>121</v>
      </c>
      <c r="E1475" s="12" t="s">
        <v>37</v>
      </c>
      <c r="F1475" s="12" t="s">
        <v>57</v>
      </c>
      <c r="G1475" s="53">
        <v>0</v>
      </c>
      <c r="H1475" s="111"/>
      <c r="I1475" s="112"/>
      <c r="J1475" s="111"/>
      <c r="K1475" s="76"/>
      <c r="L1475" s="75"/>
      <c r="M1475" s="75"/>
      <c r="AG1475" s="75"/>
      <c r="AH1475" s="75"/>
      <c r="AK1475" s="75">
        <v>0</v>
      </c>
    </row>
    <row r="1476" spans="1:106" ht="37.5" hidden="1" x14ac:dyDescent="0.3">
      <c r="A1476" s="138" t="s">
        <v>180</v>
      </c>
      <c r="B1476" s="11">
        <v>936</v>
      </c>
      <c r="C1476" s="6" t="s">
        <v>169</v>
      </c>
      <c r="D1476" s="6" t="s">
        <v>121</v>
      </c>
      <c r="E1476" s="12" t="s">
        <v>181</v>
      </c>
      <c r="F1476" s="12" t="s">
        <v>50</v>
      </c>
      <c r="G1476" s="53">
        <f>G1477</f>
        <v>0</v>
      </c>
      <c r="H1476" s="111"/>
      <c r="I1476" s="112"/>
      <c r="J1476" s="111"/>
      <c r="K1476" s="76"/>
      <c r="L1476" s="75"/>
      <c r="M1476" s="75"/>
      <c r="AG1476" s="75"/>
      <c r="AH1476" s="75"/>
    </row>
    <row r="1477" spans="1:106" ht="93.75" hidden="1" x14ac:dyDescent="0.3">
      <c r="A1477" s="138" t="s">
        <v>56</v>
      </c>
      <c r="B1477" s="11">
        <v>936</v>
      </c>
      <c r="C1477" s="6" t="s">
        <v>169</v>
      </c>
      <c r="D1477" s="6" t="s">
        <v>121</v>
      </c>
      <c r="E1477" s="12" t="s">
        <v>181</v>
      </c>
      <c r="F1477" s="12" t="s">
        <v>57</v>
      </c>
      <c r="G1477" s="53">
        <v>0</v>
      </c>
      <c r="H1477" s="111"/>
      <c r="I1477" s="112"/>
      <c r="J1477" s="111"/>
      <c r="K1477" s="76"/>
      <c r="L1477" s="75"/>
      <c r="M1477" s="75"/>
      <c r="AG1477" s="75"/>
      <c r="AH1477" s="75"/>
      <c r="AK1477" s="75">
        <v>0.3</v>
      </c>
    </row>
    <row r="1478" spans="1:106" hidden="1" x14ac:dyDescent="0.3">
      <c r="A1478" s="138" t="s">
        <v>409</v>
      </c>
      <c r="B1478" s="11">
        <v>936</v>
      </c>
      <c r="C1478" s="6" t="s">
        <v>169</v>
      </c>
      <c r="D1478" s="6" t="s">
        <v>121</v>
      </c>
      <c r="E1478" s="12" t="s">
        <v>44</v>
      </c>
      <c r="F1478" s="12" t="s">
        <v>50</v>
      </c>
      <c r="G1478" s="53">
        <f>G1479</f>
        <v>0</v>
      </c>
      <c r="H1478" s="111"/>
      <c r="I1478" s="112"/>
      <c r="J1478" s="111"/>
      <c r="K1478" s="76"/>
      <c r="L1478" s="75"/>
      <c r="M1478" s="75"/>
      <c r="AG1478" s="75"/>
      <c r="AH1478" s="75"/>
    </row>
    <row r="1479" spans="1:106" ht="37.5" hidden="1" x14ac:dyDescent="0.3">
      <c r="A1479" s="138" t="s">
        <v>52</v>
      </c>
      <c r="B1479" s="11">
        <v>936</v>
      </c>
      <c r="C1479" s="6" t="s">
        <v>169</v>
      </c>
      <c r="D1479" s="6" t="s">
        <v>121</v>
      </c>
      <c r="E1479" s="12" t="s">
        <v>230</v>
      </c>
      <c r="F1479" s="12" t="s">
        <v>50</v>
      </c>
      <c r="G1479" s="53">
        <f>G1480</f>
        <v>0</v>
      </c>
      <c r="H1479" s="111"/>
      <c r="I1479" s="112"/>
      <c r="J1479" s="111"/>
      <c r="K1479" s="76"/>
      <c r="L1479" s="75"/>
      <c r="M1479" s="75"/>
      <c r="AG1479" s="75"/>
      <c r="AH1479" s="75"/>
    </row>
    <row r="1480" spans="1:106" ht="37.5" hidden="1" x14ac:dyDescent="0.3">
      <c r="A1480" s="138" t="s">
        <v>229</v>
      </c>
      <c r="B1480" s="11">
        <v>936</v>
      </c>
      <c r="C1480" s="6" t="s">
        <v>169</v>
      </c>
      <c r="D1480" s="6" t="s">
        <v>121</v>
      </c>
      <c r="E1480" s="12" t="s">
        <v>231</v>
      </c>
      <c r="F1480" s="12" t="s">
        <v>50</v>
      </c>
      <c r="G1480" s="53">
        <f>G1481</f>
        <v>0</v>
      </c>
      <c r="H1480" s="111"/>
      <c r="I1480" s="112"/>
      <c r="J1480" s="111"/>
      <c r="K1480" s="76"/>
      <c r="L1480" s="75"/>
      <c r="M1480" s="75"/>
      <c r="AG1480" s="75"/>
      <c r="AH1480" s="75"/>
    </row>
    <row r="1481" spans="1:106" ht="37.5" hidden="1" customHeight="1" x14ac:dyDescent="0.3">
      <c r="A1481" s="138" t="s">
        <v>56</v>
      </c>
      <c r="B1481" s="11">
        <v>936</v>
      </c>
      <c r="C1481" s="6" t="s">
        <v>169</v>
      </c>
      <c r="D1481" s="6" t="s">
        <v>121</v>
      </c>
      <c r="E1481" s="12" t="s">
        <v>231</v>
      </c>
      <c r="F1481" s="12" t="s">
        <v>57</v>
      </c>
      <c r="G1481" s="53">
        <v>0</v>
      </c>
      <c r="H1481" s="111"/>
      <c r="I1481" s="112"/>
      <c r="J1481" s="111"/>
      <c r="K1481" s="76"/>
      <c r="L1481" s="75"/>
      <c r="M1481" s="75"/>
      <c r="AG1481" s="75"/>
      <c r="AH1481" s="75"/>
    </row>
    <row r="1482" spans="1:106" ht="47.25" customHeight="1" x14ac:dyDescent="0.3">
      <c r="A1482" s="232" t="s">
        <v>801</v>
      </c>
      <c r="B1482" s="11">
        <v>936</v>
      </c>
      <c r="C1482" s="6" t="s">
        <v>169</v>
      </c>
      <c r="D1482" s="6" t="s">
        <v>121</v>
      </c>
      <c r="E1482" s="12" t="s">
        <v>1143</v>
      </c>
      <c r="F1482" s="12" t="s">
        <v>50</v>
      </c>
      <c r="G1482" s="53">
        <f>G1483</f>
        <v>3028.18</v>
      </c>
      <c r="H1482" s="111"/>
      <c r="I1482" s="112"/>
      <c r="J1482" s="111"/>
      <c r="K1482" s="76"/>
      <c r="L1482" s="75"/>
      <c r="M1482" s="75"/>
      <c r="AG1482" s="75"/>
      <c r="AH1482" s="75"/>
    </row>
    <row r="1483" spans="1:106" ht="37.5" x14ac:dyDescent="0.3">
      <c r="A1483" s="138" t="s">
        <v>175</v>
      </c>
      <c r="B1483" s="11">
        <v>936</v>
      </c>
      <c r="C1483" s="6" t="s">
        <v>169</v>
      </c>
      <c r="D1483" s="6" t="s">
        <v>121</v>
      </c>
      <c r="E1483" s="12" t="s">
        <v>1143</v>
      </c>
      <c r="F1483" s="12" t="s">
        <v>176</v>
      </c>
      <c r="G1483" s="53">
        <f>CQ1483+DB1483</f>
        <v>3028.18</v>
      </c>
      <c r="H1483" s="111"/>
      <c r="I1483" s="112"/>
      <c r="J1483" s="111"/>
      <c r="K1483" s="76"/>
      <c r="L1483" s="75"/>
      <c r="M1483" s="75"/>
      <c r="AG1483" s="75"/>
      <c r="AH1483" s="75"/>
      <c r="BO1483" s="230">
        <v>610.95000000000005</v>
      </c>
      <c r="BP1483" s="231">
        <v>180.6</v>
      </c>
      <c r="BT1483" s="146">
        <v>111.33</v>
      </c>
      <c r="CI1483" s="187">
        <v>-144.44999999999999</v>
      </c>
      <c r="CQ1483" s="94">
        <f>2433.21+609</f>
        <v>3042.21</v>
      </c>
      <c r="DB1483" s="187">
        <v>-14.03</v>
      </c>
    </row>
    <row r="1484" spans="1:106" ht="25.5" customHeight="1" x14ac:dyDescent="0.3">
      <c r="A1484" s="150" t="s">
        <v>326</v>
      </c>
      <c r="B1484" s="10">
        <v>936</v>
      </c>
      <c r="C1484" s="17" t="s">
        <v>169</v>
      </c>
      <c r="D1484" s="17" t="s">
        <v>119</v>
      </c>
      <c r="E1484" s="10" t="s">
        <v>49</v>
      </c>
      <c r="F1484" s="7" t="s">
        <v>50</v>
      </c>
      <c r="G1484" s="64">
        <f>G1485</f>
        <v>1030</v>
      </c>
      <c r="H1484" s="111"/>
      <c r="I1484" s="112"/>
      <c r="J1484" s="111"/>
      <c r="K1484" s="76"/>
      <c r="L1484" s="75"/>
      <c r="M1484" s="75"/>
      <c r="AG1484" s="75"/>
      <c r="AH1484" s="75"/>
    </row>
    <row r="1485" spans="1:106" ht="56.25" x14ac:dyDescent="0.3">
      <c r="A1485" s="151" t="s">
        <v>0</v>
      </c>
      <c r="B1485" s="11">
        <v>936</v>
      </c>
      <c r="C1485" s="6" t="s">
        <v>169</v>
      </c>
      <c r="D1485" s="6" t="s">
        <v>119</v>
      </c>
      <c r="E1485" s="12" t="s">
        <v>92</v>
      </c>
      <c r="F1485" s="12" t="s">
        <v>50</v>
      </c>
      <c r="G1485" s="53">
        <f>G1486</f>
        <v>1030</v>
      </c>
      <c r="H1485" s="111"/>
      <c r="I1485" s="112"/>
      <c r="J1485" s="111"/>
      <c r="K1485" s="76"/>
      <c r="L1485" s="75"/>
      <c r="M1485" s="75"/>
      <c r="AG1485" s="75"/>
      <c r="AH1485" s="75"/>
    </row>
    <row r="1486" spans="1:106" ht="75" x14ac:dyDescent="0.3">
      <c r="A1486" s="151" t="s">
        <v>2</v>
      </c>
      <c r="B1486" s="11">
        <v>936</v>
      </c>
      <c r="C1486" s="6" t="s">
        <v>169</v>
      </c>
      <c r="D1486" s="6" t="s">
        <v>119</v>
      </c>
      <c r="E1486" s="12" t="s">
        <v>26</v>
      </c>
      <c r="F1486" s="12" t="s">
        <v>50</v>
      </c>
      <c r="G1486" s="53">
        <f>G1487</f>
        <v>1030</v>
      </c>
      <c r="H1486" s="111"/>
      <c r="I1486" s="112"/>
      <c r="J1486" s="111"/>
      <c r="K1486" s="76"/>
      <c r="L1486" s="75"/>
      <c r="M1486" s="75"/>
      <c r="AG1486" s="75"/>
      <c r="AH1486" s="75"/>
    </row>
    <row r="1487" spans="1:106" x14ac:dyDescent="0.3">
      <c r="A1487" s="138" t="s">
        <v>62</v>
      </c>
      <c r="B1487" s="11">
        <v>936</v>
      </c>
      <c r="C1487" s="6" t="s">
        <v>169</v>
      </c>
      <c r="D1487" s="6" t="s">
        <v>119</v>
      </c>
      <c r="E1487" s="12" t="s">
        <v>287</v>
      </c>
      <c r="F1487" s="12" t="s">
        <v>50</v>
      </c>
      <c r="G1487" s="53">
        <f>G1488</f>
        <v>1030</v>
      </c>
      <c r="H1487" s="111"/>
      <c r="I1487" s="112"/>
      <c r="J1487" s="111"/>
      <c r="K1487" s="76"/>
      <c r="L1487" s="75"/>
      <c r="M1487" s="75"/>
      <c r="AG1487" s="75"/>
      <c r="AH1487" s="75"/>
    </row>
    <row r="1488" spans="1:106" ht="37.5" x14ac:dyDescent="0.3">
      <c r="A1488" s="138" t="s">
        <v>327</v>
      </c>
      <c r="B1488" s="11">
        <v>936</v>
      </c>
      <c r="C1488" s="6" t="s">
        <v>169</v>
      </c>
      <c r="D1488" s="6" t="s">
        <v>119</v>
      </c>
      <c r="E1488" s="12" t="s">
        <v>328</v>
      </c>
      <c r="F1488" s="12" t="s">
        <v>50</v>
      </c>
      <c r="G1488" s="53">
        <f>G1489</f>
        <v>1030</v>
      </c>
      <c r="H1488" s="111"/>
      <c r="I1488" s="112"/>
      <c r="J1488" s="111"/>
      <c r="K1488" s="76"/>
      <c r="L1488" s="75"/>
      <c r="M1488" s="75"/>
      <c r="AG1488" s="75"/>
      <c r="AH1488" s="75"/>
    </row>
    <row r="1489" spans="1:107" ht="40.5" customHeight="1" x14ac:dyDescent="0.3">
      <c r="A1489" s="138" t="s">
        <v>264</v>
      </c>
      <c r="B1489" s="11">
        <v>936</v>
      </c>
      <c r="C1489" s="6" t="s">
        <v>169</v>
      </c>
      <c r="D1489" s="6" t="s">
        <v>119</v>
      </c>
      <c r="E1489" s="12" t="s">
        <v>328</v>
      </c>
      <c r="F1489" s="12" t="s">
        <v>261</v>
      </c>
      <c r="G1489" s="53">
        <f>CR1489+CV1489+DC1489</f>
        <v>1030</v>
      </c>
      <c r="H1489" s="120">
        <v>330</v>
      </c>
      <c r="I1489" s="121"/>
      <c r="J1489" s="120"/>
      <c r="K1489" s="76"/>
      <c r="L1489" s="75"/>
      <c r="M1489" s="75"/>
      <c r="AG1489" s="75"/>
      <c r="AH1489" s="75"/>
      <c r="AK1489" s="75">
        <v>587.70000000000005</v>
      </c>
      <c r="AZ1489" s="218">
        <v>330</v>
      </c>
      <c r="BN1489" s="229">
        <v>396</v>
      </c>
      <c r="CH1489" s="250">
        <v>396</v>
      </c>
      <c r="CR1489" s="94">
        <v>464</v>
      </c>
      <c r="CV1489" s="259">
        <v>102</v>
      </c>
      <c r="DC1489" s="187">
        <v>464</v>
      </c>
    </row>
    <row r="1490" spans="1:107" x14ac:dyDescent="0.3">
      <c r="A1490" s="202" t="s">
        <v>329</v>
      </c>
      <c r="B1490" s="10">
        <v>936</v>
      </c>
      <c r="C1490" s="20">
        <v>11</v>
      </c>
      <c r="D1490" s="7" t="s">
        <v>112</v>
      </c>
      <c r="E1490" s="20" t="s">
        <v>49</v>
      </c>
      <c r="F1490" s="7" t="s">
        <v>50</v>
      </c>
      <c r="G1490" s="64">
        <f>G1491+G1517</f>
        <v>72712.318999999989</v>
      </c>
      <c r="H1490" s="111"/>
      <c r="I1490" s="112"/>
      <c r="J1490" s="111"/>
      <c r="K1490" s="76"/>
      <c r="L1490" s="75"/>
      <c r="M1490" s="75"/>
      <c r="AG1490" s="75"/>
      <c r="AH1490" s="75"/>
    </row>
    <row r="1491" spans="1:107" x14ac:dyDescent="0.3">
      <c r="A1491" s="202" t="s">
        <v>330</v>
      </c>
      <c r="B1491" s="20">
        <v>936</v>
      </c>
      <c r="C1491" s="20">
        <v>11</v>
      </c>
      <c r="D1491" s="7" t="s">
        <v>116</v>
      </c>
      <c r="E1491" s="20" t="s">
        <v>49</v>
      </c>
      <c r="F1491" s="7" t="s">
        <v>50</v>
      </c>
      <c r="G1491" s="64">
        <f>G1492</f>
        <v>11901</v>
      </c>
      <c r="H1491" s="111"/>
      <c r="I1491" s="112"/>
      <c r="J1491" s="111"/>
      <c r="K1491" s="76"/>
      <c r="L1491" s="75"/>
      <c r="M1491" s="75"/>
      <c r="AG1491" s="75"/>
      <c r="AH1491" s="75"/>
    </row>
    <row r="1492" spans="1:107" ht="56.25" x14ac:dyDescent="0.3">
      <c r="A1492" s="151" t="s">
        <v>159</v>
      </c>
      <c r="B1492" s="21">
        <v>936</v>
      </c>
      <c r="C1492" s="6" t="s">
        <v>183</v>
      </c>
      <c r="D1492" s="6" t="s">
        <v>116</v>
      </c>
      <c r="E1492" s="12" t="s">
        <v>91</v>
      </c>
      <c r="F1492" s="12" t="s">
        <v>50</v>
      </c>
      <c r="G1492" s="53">
        <f>G1511+G1513</f>
        <v>11901</v>
      </c>
      <c r="H1492" s="111"/>
      <c r="I1492" s="112"/>
      <c r="J1492" s="111"/>
      <c r="K1492" s="76"/>
      <c r="L1492" s="75"/>
      <c r="M1492" s="75"/>
      <c r="AG1492" s="75"/>
      <c r="AH1492" s="75"/>
    </row>
    <row r="1493" spans="1:107" ht="24.75" hidden="1" customHeight="1" x14ac:dyDescent="0.3">
      <c r="A1493" s="138" t="s">
        <v>62</v>
      </c>
      <c r="B1493" s="21">
        <v>936</v>
      </c>
      <c r="C1493" s="6" t="s">
        <v>183</v>
      </c>
      <c r="D1493" s="6" t="s">
        <v>116</v>
      </c>
      <c r="E1493" s="12" t="s">
        <v>332</v>
      </c>
      <c r="F1493" s="12" t="s">
        <v>50</v>
      </c>
      <c r="G1493" s="53">
        <f>G1494</f>
        <v>0</v>
      </c>
      <c r="H1493" s="111"/>
      <c r="I1493" s="112"/>
      <c r="J1493" s="111"/>
      <c r="K1493" s="76"/>
      <c r="L1493" s="75"/>
      <c r="M1493" s="75"/>
      <c r="AG1493" s="75"/>
      <c r="AH1493" s="75"/>
    </row>
    <row r="1494" spans="1:107" ht="38.25" hidden="1" customHeight="1" x14ac:dyDescent="0.3">
      <c r="A1494" s="138" t="s">
        <v>331</v>
      </c>
      <c r="B1494" s="21">
        <v>936</v>
      </c>
      <c r="C1494" s="6" t="s">
        <v>183</v>
      </c>
      <c r="D1494" s="6" t="s">
        <v>116</v>
      </c>
      <c r="E1494" s="12" t="s">
        <v>333</v>
      </c>
      <c r="F1494" s="12" t="s">
        <v>50</v>
      </c>
      <c r="G1494" s="53">
        <f>G1495+G1496+G1497</f>
        <v>0</v>
      </c>
      <c r="H1494" s="111"/>
      <c r="I1494" s="112"/>
      <c r="J1494" s="111"/>
      <c r="K1494" s="76"/>
      <c r="L1494" s="75"/>
      <c r="M1494" s="75"/>
      <c r="AG1494" s="75"/>
      <c r="AH1494" s="75"/>
    </row>
    <row r="1495" spans="1:107" ht="93.75" hidden="1" outlineLevel="1" x14ac:dyDescent="0.3">
      <c r="A1495" s="138" t="s">
        <v>56</v>
      </c>
      <c r="B1495" s="21">
        <v>936</v>
      </c>
      <c r="C1495" s="6" t="s">
        <v>183</v>
      </c>
      <c r="D1495" s="6" t="s">
        <v>116</v>
      </c>
      <c r="E1495" s="12" t="s">
        <v>333</v>
      </c>
      <c r="F1495" s="12" t="s">
        <v>57</v>
      </c>
      <c r="G1495" s="53">
        <v>0</v>
      </c>
      <c r="H1495" s="111"/>
      <c r="I1495" s="112"/>
      <c r="J1495" s="111"/>
      <c r="K1495" s="76"/>
      <c r="L1495" s="75"/>
      <c r="M1495" s="75"/>
      <c r="AE1495">
        <v>1.5</v>
      </c>
      <c r="AG1495" s="75"/>
      <c r="AH1495" s="75"/>
      <c r="AK1495" s="75">
        <v>0</v>
      </c>
    </row>
    <row r="1496" spans="1:107" ht="37.5" hidden="1" x14ac:dyDescent="0.3">
      <c r="A1496" s="138" t="s">
        <v>425</v>
      </c>
      <c r="B1496" s="21">
        <v>936</v>
      </c>
      <c r="C1496" s="6" t="s">
        <v>183</v>
      </c>
      <c r="D1496" s="6" t="s">
        <v>116</v>
      </c>
      <c r="E1496" s="12" t="s">
        <v>333</v>
      </c>
      <c r="F1496" s="12" t="s">
        <v>59</v>
      </c>
      <c r="G1496" s="68">
        <v>0</v>
      </c>
      <c r="H1496" s="111"/>
      <c r="I1496" s="112"/>
      <c r="J1496" s="111"/>
      <c r="K1496" s="76"/>
      <c r="L1496" s="75"/>
      <c r="M1496" s="75"/>
      <c r="AG1496" s="75"/>
      <c r="AH1496" s="75"/>
    </row>
    <row r="1497" spans="1:107" ht="45" hidden="1" customHeight="1" x14ac:dyDescent="0.3">
      <c r="A1497" s="138" t="s">
        <v>264</v>
      </c>
      <c r="B1497" s="21">
        <v>936</v>
      </c>
      <c r="C1497" s="6" t="s">
        <v>183</v>
      </c>
      <c r="D1497" s="6" t="s">
        <v>116</v>
      </c>
      <c r="E1497" s="12" t="s">
        <v>333</v>
      </c>
      <c r="F1497" s="12" t="s">
        <v>261</v>
      </c>
      <c r="G1497" s="53">
        <v>0</v>
      </c>
      <c r="H1497" s="130"/>
      <c r="I1497" s="131"/>
      <c r="J1497" s="130"/>
      <c r="K1497" s="76"/>
      <c r="L1497" s="75"/>
      <c r="M1497" s="75"/>
      <c r="AG1497" s="75"/>
      <c r="AH1497" s="75"/>
    </row>
    <row r="1498" spans="1:107" ht="48" hidden="1" customHeight="1" x14ac:dyDescent="0.3">
      <c r="A1498" s="151" t="s">
        <v>161</v>
      </c>
      <c r="B1498" s="21">
        <v>936</v>
      </c>
      <c r="C1498" s="12" t="s">
        <v>183</v>
      </c>
      <c r="D1498" s="6" t="s">
        <v>116</v>
      </c>
      <c r="E1498" s="12" t="s">
        <v>99</v>
      </c>
      <c r="F1498" s="12" t="s">
        <v>50</v>
      </c>
      <c r="G1498" s="53">
        <f>G1499</f>
        <v>0</v>
      </c>
      <c r="H1498" s="111"/>
      <c r="I1498" s="112"/>
      <c r="J1498" s="111"/>
      <c r="K1498" s="76"/>
      <c r="L1498" s="75"/>
      <c r="M1498" s="75"/>
      <c r="AG1498" s="75"/>
      <c r="AH1498" s="75"/>
    </row>
    <row r="1499" spans="1:107" ht="56.25" hidden="1" x14ac:dyDescent="0.3">
      <c r="A1499" s="151" t="s">
        <v>11</v>
      </c>
      <c r="B1499" s="11">
        <v>936</v>
      </c>
      <c r="C1499" s="12" t="s">
        <v>183</v>
      </c>
      <c r="D1499" s="6" t="s">
        <v>116</v>
      </c>
      <c r="E1499" s="12" t="s">
        <v>29</v>
      </c>
      <c r="F1499" s="12" t="s">
        <v>50</v>
      </c>
      <c r="G1499" s="53">
        <f>G1500</f>
        <v>0</v>
      </c>
      <c r="H1499" s="111"/>
      <c r="I1499" s="112"/>
      <c r="J1499" s="111"/>
      <c r="K1499" s="76"/>
      <c r="L1499" s="75"/>
      <c r="M1499" s="75"/>
      <c r="AG1499" s="75"/>
      <c r="AH1499" s="75"/>
    </row>
    <row r="1500" spans="1:107" ht="75" hidden="1" x14ac:dyDescent="0.3">
      <c r="A1500" s="138" t="s">
        <v>249</v>
      </c>
      <c r="B1500" s="11">
        <v>936</v>
      </c>
      <c r="C1500" s="12" t="s">
        <v>183</v>
      </c>
      <c r="D1500" s="6" t="s">
        <v>116</v>
      </c>
      <c r="E1500" s="12" t="s">
        <v>254</v>
      </c>
      <c r="F1500" s="12" t="s">
        <v>50</v>
      </c>
      <c r="G1500" s="53">
        <f>G1501</f>
        <v>0</v>
      </c>
      <c r="H1500" s="111"/>
      <c r="I1500" s="112"/>
      <c r="J1500" s="111"/>
      <c r="K1500" s="76"/>
      <c r="L1500" s="75"/>
      <c r="M1500" s="75"/>
      <c r="AG1500" s="75"/>
      <c r="AH1500" s="75"/>
    </row>
    <row r="1501" spans="1:107" ht="56.25" hidden="1" x14ac:dyDescent="0.3">
      <c r="A1501" s="138" t="s">
        <v>253</v>
      </c>
      <c r="B1501" s="11">
        <v>936</v>
      </c>
      <c r="C1501" s="12" t="s">
        <v>183</v>
      </c>
      <c r="D1501" s="6" t="s">
        <v>116</v>
      </c>
      <c r="E1501" s="12" t="s">
        <v>255</v>
      </c>
      <c r="F1501" s="12" t="s">
        <v>50</v>
      </c>
      <c r="G1501" s="53">
        <f>G1502</f>
        <v>0</v>
      </c>
      <c r="H1501" s="111"/>
      <c r="I1501" s="112"/>
      <c r="J1501" s="111"/>
      <c r="K1501" s="76"/>
      <c r="L1501" s="75"/>
      <c r="M1501" s="75"/>
      <c r="AG1501" s="75"/>
      <c r="AH1501" s="75"/>
    </row>
    <row r="1502" spans="1:107" ht="39.75" hidden="1" customHeight="1" x14ac:dyDescent="0.3">
      <c r="A1502" s="138" t="s">
        <v>264</v>
      </c>
      <c r="B1502" s="11">
        <v>936</v>
      </c>
      <c r="C1502" s="12" t="s">
        <v>183</v>
      </c>
      <c r="D1502" s="6" t="s">
        <v>116</v>
      </c>
      <c r="E1502" s="12" t="s">
        <v>255</v>
      </c>
      <c r="F1502" s="12" t="s">
        <v>261</v>
      </c>
      <c r="G1502" s="53">
        <v>0</v>
      </c>
      <c r="H1502" s="111"/>
      <c r="I1502" s="112"/>
      <c r="J1502" s="111"/>
      <c r="K1502" s="76"/>
      <c r="L1502" s="75"/>
      <c r="M1502" s="75"/>
      <c r="AG1502" s="75"/>
      <c r="AH1502" s="75"/>
    </row>
    <row r="1503" spans="1:107" ht="31.5" hidden="1" customHeight="1" x14ac:dyDescent="0.3">
      <c r="A1503" s="170" t="s">
        <v>409</v>
      </c>
      <c r="B1503" s="21">
        <v>936</v>
      </c>
      <c r="C1503" s="6" t="s">
        <v>183</v>
      </c>
      <c r="D1503" s="6" t="s">
        <v>116</v>
      </c>
      <c r="E1503" s="12" t="s">
        <v>704</v>
      </c>
      <c r="F1503" s="12" t="s">
        <v>50</v>
      </c>
      <c r="G1503" s="53">
        <f>G1507+G1509+G1504</f>
        <v>0</v>
      </c>
      <c r="H1503" s="111"/>
      <c r="I1503" s="112"/>
      <c r="J1503" s="111"/>
      <c r="K1503" s="76"/>
      <c r="L1503" s="75"/>
      <c r="M1503" s="75"/>
      <c r="AG1503" s="75"/>
      <c r="AH1503" s="75"/>
    </row>
    <row r="1504" spans="1:107" ht="31.5" hidden="1" customHeight="1" x14ac:dyDescent="0.3">
      <c r="A1504" s="138" t="s">
        <v>62</v>
      </c>
      <c r="B1504" s="21">
        <v>936</v>
      </c>
      <c r="C1504" s="6" t="s">
        <v>183</v>
      </c>
      <c r="D1504" s="6" t="s">
        <v>116</v>
      </c>
      <c r="E1504" s="13" t="s">
        <v>749</v>
      </c>
      <c r="F1504" s="12" t="s">
        <v>50</v>
      </c>
      <c r="G1504" s="53">
        <f>G1505</f>
        <v>0</v>
      </c>
      <c r="H1504" s="111"/>
      <c r="I1504" s="112"/>
      <c r="J1504" s="111"/>
      <c r="K1504" s="76"/>
      <c r="L1504" s="75"/>
      <c r="M1504" s="75"/>
      <c r="AG1504" s="75"/>
      <c r="AH1504" s="75"/>
    </row>
    <row r="1505" spans="1:109" ht="31.5" hidden="1" customHeight="1" x14ac:dyDescent="0.3">
      <c r="A1505" s="138" t="s">
        <v>289</v>
      </c>
      <c r="B1505" s="21">
        <v>936</v>
      </c>
      <c r="C1505" s="6" t="s">
        <v>183</v>
      </c>
      <c r="D1505" s="6" t="s">
        <v>116</v>
      </c>
      <c r="E1505" s="13" t="s">
        <v>748</v>
      </c>
      <c r="F1505" s="12" t="s">
        <v>50</v>
      </c>
      <c r="G1505" s="53">
        <f>G1506</f>
        <v>0</v>
      </c>
      <c r="H1505" s="111"/>
      <c r="I1505" s="112"/>
      <c r="J1505" s="111"/>
      <c r="K1505" s="76"/>
      <c r="L1505" s="75"/>
      <c r="M1505" s="75"/>
      <c r="AG1505" s="75"/>
      <c r="AH1505" s="75"/>
    </row>
    <row r="1506" spans="1:109" ht="48.75" hidden="1" customHeight="1" x14ac:dyDescent="0.3">
      <c r="A1506" s="138" t="s">
        <v>264</v>
      </c>
      <c r="B1506" s="21">
        <v>936</v>
      </c>
      <c r="C1506" s="6" t="s">
        <v>183</v>
      </c>
      <c r="D1506" s="6" t="s">
        <v>116</v>
      </c>
      <c r="E1506" s="13" t="s">
        <v>748</v>
      </c>
      <c r="F1506" s="12" t="s">
        <v>261</v>
      </c>
      <c r="G1506" s="53">
        <f>3500+BC1506+BB1506</f>
        <v>0</v>
      </c>
      <c r="H1506" s="111"/>
      <c r="I1506" s="112"/>
      <c r="J1506" s="111"/>
      <c r="K1506" s="76"/>
      <c r="L1506" s="75"/>
      <c r="M1506" s="75"/>
      <c r="AG1506" s="75"/>
      <c r="AH1506" s="75"/>
      <c r="AU1506">
        <v>3500</v>
      </c>
      <c r="BB1506" s="187">
        <v>-3500</v>
      </c>
    </row>
    <row r="1507" spans="1:109" ht="62.25" hidden="1" customHeight="1" x14ac:dyDescent="0.3">
      <c r="A1507" s="151" t="s">
        <v>705</v>
      </c>
      <c r="B1507" s="21">
        <v>936</v>
      </c>
      <c r="C1507" s="6" t="s">
        <v>183</v>
      </c>
      <c r="D1507" s="6" t="s">
        <v>116</v>
      </c>
      <c r="E1507" s="12" t="s">
        <v>772</v>
      </c>
      <c r="F1507" s="12" t="s">
        <v>50</v>
      </c>
      <c r="G1507" s="53">
        <f>G1508</f>
        <v>0</v>
      </c>
      <c r="H1507" s="111"/>
      <c r="I1507" s="112"/>
      <c r="J1507" s="111"/>
      <c r="K1507" s="76"/>
      <c r="L1507" s="75"/>
      <c r="M1507" s="75"/>
      <c r="AG1507" s="75"/>
      <c r="AH1507" s="75"/>
    </row>
    <row r="1508" spans="1:109" ht="51" hidden="1" customHeight="1" x14ac:dyDescent="0.3">
      <c r="A1508" s="138" t="s">
        <v>264</v>
      </c>
      <c r="B1508" s="21">
        <v>936</v>
      </c>
      <c r="C1508" s="6" t="s">
        <v>183</v>
      </c>
      <c r="D1508" s="6" t="s">
        <v>116</v>
      </c>
      <c r="E1508" s="12" t="s">
        <v>772</v>
      </c>
      <c r="F1508" s="12" t="s">
        <v>261</v>
      </c>
      <c r="G1508" s="53">
        <v>0</v>
      </c>
      <c r="H1508" s="111"/>
      <c r="I1508" s="112"/>
      <c r="J1508" s="111"/>
      <c r="K1508" s="76"/>
      <c r="L1508" s="75"/>
      <c r="M1508" s="75"/>
      <c r="AG1508" s="75"/>
      <c r="AH1508" s="75"/>
      <c r="AP1508" s="146">
        <v>49860.4</v>
      </c>
    </row>
    <row r="1509" spans="1:109" ht="66" hidden="1" customHeight="1" x14ac:dyDescent="0.3">
      <c r="A1509" s="151" t="s">
        <v>705</v>
      </c>
      <c r="B1509" s="21">
        <v>936</v>
      </c>
      <c r="C1509" s="6" t="s">
        <v>183</v>
      </c>
      <c r="D1509" s="6" t="s">
        <v>116</v>
      </c>
      <c r="E1509" s="12" t="s">
        <v>773</v>
      </c>
      <c r="F1509" s="12" t="s">
        <v>50</v>
      </c>
      <c r="G1509" s="53">
        <f>G1510</f>
        <v>0</v>
      </c>
      <c r="H1509" s="111"/>
      <c r="I1509" s="112"/>
      <c r="J1509" s="111"/>
      <c r="K1509" s="76"/>
      <c r="L1509" s="75"/>
      <c r="M1509" s="75"/>
      <c r="AG1509" s="75"/>
      <c r="AH1509" s="75"/>
    </row>
    <row r="1510" spans="1:109" ht="51" hidden="1" customHeight="1" x14ac:dyDescent="0.3">
      <c r="A1510" s="138" t="s">
        <v>264</v>
      </c>
      <c r="B1510" s="21">
        <v>936</v>
      </c>
      <c r="C1510" s="6" t="s">
        <v>183</v>
      </c>
      <c r="D1510" s="6" t="s">
        <v>116</v>
      </c>
      <c r="E1510" s="12" t="s">
        <v>773</v>
      </c>
      <c r="F1510" s="12" t="s">
        <v>261</v>
      </c>
      <c r="G1510" s="53">
        <v>0</v>
      </c>
      <c r="H1510" s="111"/>
      <c r="I1510" s="112"/>
      <c r="J1510" s="111"/>
      <c r="K1510" s="76"/>
      <c r="L1510" s="75"/>
      <c r="M1510" s="75"/>
      <c r="AG1510" s="75"/>
      <c r="AH1510" s="75"/>
      <c r="AQ1510" s="146">
        <v>503.64100000000002</v>
      </c>
    </row>
    <row r="1511" spans="1:109" ht="40.5" customHeight="1" x14ac:dyDescent="0.3">
      <c r="A1511" s="138" t="s">
        <v>673</v>
      </c>
      <c r="B1511" s="21">
        <v>936</v>
      </c>
      <c r="C1511" s="6" t="s">
        <v>183</v>
      </c>
      <c r="D1511" s="6" t="s">
        <v>116</v>
      </c>
      <c r="E1511" s="12" t="s">
        <v>979</v>
      </c>
      <c r="F1511" s="12" t="s">
        <v>50</v>
      </c>
      <c r="G1511" s="53">
        <f>G1512</f>
        <v>11841</v>
      </c>
      <c r="H1511" s="111"/>
      <c r="I1511" s="112"/>
      <c r="J1511" s="111"/>
      <c r="K1511" s="76"/>
      <c r="L1511" s="75"/>
      <c r="M1511" s="75"/>
      <c r="AG1511" s="75"/>
      <c r="AH1511" s="75"/>
    </row>
    <row r="1512" spans="1:109" ht="61.5" customHeight="1" x14ac:dyDescent="0.3">
      <c r="A1512" s="138" t="s">
        <v>290</v>
      </c>
      <c r="B1512" s="21">
        <v>936</v>
      </c>
      <c r="C1512" s="6" t="s">
        <v>183</v>
      </c>
      <c r="D1512" s="6" t="s">
        <v>116</v>
      </c>
      <c r="E1512" s="12" t="s">
        <v>979</v>
      </c>
      <c r="F1512" s="12" t="s">
        <v>291</v>
      </c>
      <c r="G1512" s="53">
        <f>15160+CX1512</f>
        <v>11841</v>
      </c>
      <c r="H1512" s="111"/>
      <c r="I1512" s="112"/>
      <c r="J1512" s="111"/>
      <c r="K1512" s="76"/>
      <c r="L1512" s="75"/>
      <c r="M1512" s="75"/>
      <c r="AG1512" s="75"/>
      <c r="AH1512" s="75"/>
      <c r="CX1512" s="260">
        <v>-3319</v>
      </c>
    </row>
    <row r="1513" spans="1:109" ht="39" customHeight="1" x14ac:dyDescent="0.3">
      <c r="A1513" s="138" t="s">
        <v>409</v>
      </c>
      <c r="B1513" s="21">
        <v>936</v>
      </c>
      <c r="C1513" s="6" t="s">
        <v>183</v>
      </c>
      <c r="D1513" s="6" t="s">
        <v>116</v>
      </c>
      <c r="E1513" s="12" t="s">
        <v>704</v>
      </c>
      <c r="F1513" s="12" t="s">
        <v>50</v>
      </c>
      <c r="G1513" s="53">
        <f>G1514</f>
        <v>60</v>
      </c>
      <c r="H1513" s="111"/>
      <c r="I1513" s="112"/>
      <c r="J1513" s="111"/>
      <c r="K1513" s="76"/>
      <c r="L1513" s="75"/>
      <c r="M1513" s="75"/>
      <c r="AG1513" s="75"/>
      <c r="AH1513" s="75"/>
    </row>
    <row r="1514" spans="1:109" ht="39" customHeight="1" x14ac:dyDescent="0.3">
      <c r="A1514" s="138" t="s">
        <v>62</v>
      </c>
      <c r="B1514" s="21">
        <v>936</v>
      </c>
      <c r="C1514" s="6" t="s">
        <v>183</v>
      </c>
      <c r="D1514" s="6" t="s">
        <v>116</v>
      </c>
      <c r="E1514" s="12" t="s">
        <v>749</v>
      </c>
      <c r="F1514" s="12" t="s">
        <v>50</v>
      </c>
      <c r="G1514" s="53">
        <f>G1515</f>
        <v>60</v>
      </c>
      <c r="H1514" s="111"/>
      <c r="I1514" s="112"/>
      <c r="J1514" s="111"/>
      <c r="K1514" s="76"/>
      <c r="L1514" s="75"/>
      <c r="M1514" s="75"/>
      <c r="AG1514" s="75"/>
      <c r="AH1514" s="75"/>
    </row>
    <row r="1515" spans="1:109" ht="39" customHeight="1" x14ac:dyDescent="0.3">
      <c r="A1515" s="138" t="s">
        <v>311</v>
      </c>
      <c r="B1515" s="21">
        <v>936</v>
      </c>
      <c r="C1515" s="6" t="s">
        <v>183</v>
      </c>
      <c r="D1515" s="6" t="s">
        <v>116</v>
      </c>
      <c r="E1515" s="12" t="s">
        <v>1155</v>
      </c>
      <c r="F1515" s="12" t="s">
        <v>50</v>
      </c>
      <c r="G1515" s="53">
        <f>G1516</f>
        <v>60</v>
      </c>
      <c r="H1515" s="111"/>
      <c r="I1515" s="112"/>
      <c r="J1515" s="111"/>
      <c r="K1515" s="76"/>
      <c r="L1515" s="75"/>
      <c r="M1515" s="75"/>
      <c r="AG1515" s="75"/>
      <c r="AH1515" s="75"/>
    </row>
    <row r="1516" spans="1:109" ht="39" customHeight="1" x14ac:dyDescent="0.3">
      <c r="A1516" s="138" t="s">
        <v>264</v>
      </c>
      <c r="B1516" s="21">
        <v>936</v>
      </c>
      <c r="C1516" s="6" t="s">
        <v>183</v>
      </c>
      <c r="D1516" s="6" t="s">
        <v>116</v>
      </c>
      <c r="E1516" s="12" t="s">
        <v>1155</v>
      </c>
      <c r="F1516" s="12" t="s">
        <v>261</v>
      </c>
      <c r="G1516" s="53">
        <f>DE1516</f>
        <v>60</v>
      </c>
      <c r="H1516" s="111"/>
      <c r="I1516" s="112"/>
      <c r="J1516" s="111"/>
      <c r="K1516" s="76"/>
      <c r="L1516" s="75"/>
      <c r="M1516" s="75"/>
      <c r="AG1516" s="75"/>
      <c r="AH1516" s="75"/>
      <c r="DE1516" s="187">
        <v>60</v>
      </c>
    </row>
    <row r="1517" spans="1:109" x14ac:dyDescent="0.3">
      <c r="A1517" s="150" t="s">
        <v>334</v>
      </c>
      <c r="B1517" s="20">
        <v>936</v>
      </c>
      <c r="C1517" s="20">
        <v>11</v>
      </c>
      <c r="D1517" s="17" t="s">
        <v>117</v>
      </c>
      <c r="E1517" s="20" t="s">
        <v>49</v>
      </c>
      <c r="F1517" s="7" t="s">
        <v>50</v>
      </c>
      <c r="G1517" s="64">
        <f>G1518+G1530</f>
        <v>60811.318999999989</v>
      </c>
      <c r="H1517" s="111"/>
      <c r="I1517" s="112"/>
      <c r="J1517" s="111"/>
      <c r="K1517" s="76"/>
      <c r="L1517" s="75"/>
      <c r="M1517" s="75"/>
      <c r="AG1517" s="75"/>
      <c r="AH1517" s="75"/>
    </row>
    <row r="1518" spans="1:109" ht="56.25" x14ac:dyDescent="0.3">
      <c r="A1518" s="151" t="s">
        <v>159</v>
      </c>
      <c r="B1518" s="21">
        <v>936</v>
      </c>
      <c r="C1518" s="6" t="s">
        <v>183</v>
      </c>
      <c r="D1518" s="6" t="s">
        <v>117</v>
      </c>
      <c r="E1518" s="12" t="s">
        <v>91</v>
      </c>
      <c r="F1518" s="12" t="s">
        <v>50</v>
      </c>
      <c r="G1518" s="53">
        <f>G1519+G1525+G1528</f>
        <v>53680.69999999999</v>
      </c>
      <c r="H1518" s="111"/>
      <c r="I1518" s="112"/>
      <c r="J1518" s="111"/>
      <c r="K1518" s="76"/>
      <c r="L1518" s="75"/>
      <c r="M1518" s="75"/>
      <c r="AG1518" s="75"/>
      <c r="AH1518" s="75"/>
    </row>
    <row r="1519" spans="1:109" ht="37.5" x14ac:dyDescent="0.3">
      <c r="A1519" s="138" t="s">
        <v>52</v>
      </c>
      <c r="B1519" s="21">
        <v>936</v>
      </c>
      <c r="C1519" s="6" t="s">
        <v>183</v>
      </c>
      <c r="D1519" s="6" t="s">
        <v>117</v>
      </c>
      <c r="E1519" s="12" t="s">
        <v>358</v>
      </c>
      <c r="F1519" s="12" t="s">
        <v>50</v>
      </c>
      <c r="G1519" s="53">
        <f>G1520+G1522</f>
        <v>52880.69999999999</v>
      </c>
      <c r="H1519" s="111"/>
      <c r="I1519" s="112"/>
      <c r="J1519" s="111"/>
      <c r="K1519" s="76"/>
      <c r="L1519" s="75"/>
      <c r="M1519" s="75"/>
      <c r="AG1519" s="75"/>
      <c r="AH1519" s="75"/>
    </row>
    <row r="1520" spans="1:109" ht="39.75" customHeight="1" x14ac:dyDescent="0.3">
      <c r="A1520" s="138" t="s">
        <v>384</v>
      </c>
      <c r="B1520" s="21">
        <v>936</v>
      </c>
      <c r="C1520" s="6" t="s">
        <v>183</v>
      </c>
      <c r="D1520" s="6" t="s">
        <v>117</v>
      </c>
      <c r="E1520" s="12" t="s">
        <v>359</v>
      </c>
      <c r="F1520" s="12" t="s">
        <v>50</v>
      </c>
      <c r="G1520" s="53">
        <f>G1521</f>
        <v>51029.19999999999</v>
      </c>
      <c r="H1520" s="111"/>
      <c r="I1520" s="112"/>
      <c r="J1520" s="111"/>
      <c r="K1520" s="76"/>
      <c r="L1520" s="75"/>
      <c r="M1520" s="75"/>
      <c r="AG1520" s="75"/>
      <c r="AH1520" s="75"/>
    </row>
    <row r="1521" spans="1:118" ht="43.5" customHeight="1" x14ac:dyDescent="0.3">
      <c r="A1521" s="138" t="s">
        <v>264</v>
      </c>
      <c r="B1521" s="21">
        <v>936</v>
      </c>
      <c r="C1521" s="6" t="s">
        <v>183</v>
      </c>
      <c r="D1521" s="6" t="s">
        <v>117</v>
      </c>
      <c r="E1521" s="12" t="s">
        <v>359</v>
      </c>
      <c r="F1521" s="12" t="s">
        <v>261</v>
      </c>
      <c r="G1521" s="53">
        <f>CR1521+CS1521+CV1521+CY1521+DF1521+DN1521</f>
        <v>51029.19999999999</v>
      </c>
      <c r="H1521" s="111">
        <f>25978.7+10441.5+60</f>
        <v>36480.199999999997</v>
      </c>
      <c r="I1521" s="112"/>
      <c r="J1521" s="111"/>
      <c r="K1521" s="76"/>
      <c r="L1521" s="75"/>
      <c r="M1521" s="75"/>
      <c r="W1521">
        <v>40</v>
      </c>
      <c r="AC1521">
        <v>33</v>
      </c>
      <c r="AF1521">
        <v>191.7</v>
      </c>
      <c r="AG1521" s="75">
        <v>755.3</v>
      </c>
      <c r="AH1521" s="75"/>
      <c r="AK1521" s="75">
        <f>27907.6+140</f>
        <v>28047.599999999999</v>
      </c>
      <c r="AX1521" s="96">
        <v>-250</v>
      </c>
      <c r="BE1521" s="218">
        <v>-1000</v>
      </c>
      <c r="BL1521" s="187">
        <v>-2225</v>
      </c>
      <c r="BM1521" s="95">
        <v>40586</v>
      </c>
      <c r="CD1521" s="218">
        <f>64+1550</f>
        <v>1614</v>
      </c>
      <c r="CP1521" s="251">
        <v>150.5</v>
      </c>
      <c r="CR1521" s="94">
        <v>3035</v>
      </c>
      <c r="CS1521" s="255">
        <f>439+47.2+36237.2-0.1+9802.6</f>
        <v>46525.899999999994</v>
      </c>
      <c r="CV1521" s="259">
        <v>180</v>
      </c>
      <c r="CY1521" s="187">
        <v>242</v>
      </c>
      <c r="DF1521" s="187">
        <f>178.1+20</f>
        <v>198.1</v>
      </c>
      <c r="DN1521" s="260">
        <v>848.2</v>
      </c>
    </row>
    <row r="1522" spans="1:118" ht="43.5" customHeight="1" x14ac:dyDescent="0.3">
      <c r="A1522" s="157" t="s">
        <v>374</v>
      </c>
      <c r="B1522" s="21">
        <v>936</v>
      </c>
      <c r="C1522" s="6" t="s">
        <v>183</v>
      </c>
      <c r="D1522" s="6" t="s">
        <v>117</v>
      </c>
      <c r="E1522" s="12" t="s">
        <v>511</v>
      </c>
      <c r="F1522" s="12" t="s">
        <v>50</v>
      </c>
      <c r="G1522" s="53">
        <f>G1523</f>
        <v>1851.5</v>
      </c>
      <c r="H1522" s="111"/>
      <c r="I1522" s="112"/>
      <c r="J1522" s="111"/>
      <c r="K1522" s="76"/>
      <c r="L1522" s="75"/>
      <c r="M1522" s="75"/>
      <c r="AG1522" s="75"/>
      <c r="AH1522" s="75"/>
    </row>
    <row r="1523" spans="1:118" ht="43.5" customHeight="1" x14ac:dyDescent="0.3">
      <c r="A1523" s="138" t="s">
        <v>264</v>
      </c>
      <c r="B1523" s="21">
        <v>936</v>
      </c>
      <c r="C1523" s="6" t="s">
        <v>183</v>
      </c>
      <c r="D1523" s="6" t="s">
        <v>117</v>
      </c>
      <c r="E1523" s="12" t="s">
        <v>511</v>
      </c>
      <c r="F1523" s="12" t="s">
        <v>261</v>
      </c>
      <c r="G1523" s="53">
        <f>CW1523+DI1523</f>
        <v>1851.5</v>
      </c>
      <c r="H1523" s="111"/>
      <c r="I1523" s="112"/>
      <c r="J1523" s="111"/>
      <c r="K1523" s="76"/>
      <c r="L1523" s="75"/>
      <c r="M1523" s="75"/>
      <c r="AF1523">
        <v>-299.983</v>
      </c>
      <c r="AG1523" s="75"/>
      <c r="AH1523" s="75"/>
      <c r="AK1523" s="75">
        <v>0</v>
      </c>
      <c r="AP1523" s="146">
        <v>1355.5</v>
      </c>
      <c r="BK1523" s="218">
        <v>1730</v>
      </c>
      <c r="BY1523" s="146">
        <v>997.2</v>
      </c>
      <c r="CI1523" s="187">
        <v>333.9</v>
      </c>
      <c r="CO1523" s="251">
        <v>3640</v>
      </c>
      <c r="CW1523" s="259">
        <v>1450.3</v>
      </c>
      <c r="DI1523" s="260">
        <v>401.2</v>
      </c>
    </row>
    <row r="1524" spans="1:118" ht="43.5" hidden="1" customHeight="1" x14ac:dyDescent="0.3">
      <c r="A1524" s="138" t="s">
        <v>411</v>
      </c>
      <c r="B1524" s="21">
        <v>936</v>
      </c>
      <c r="C1524" s="15" t="s">
        <v>183</v>
      </c>
      <c r="D1524" s="15" t="s">
        <v>117</v>
      </c>
      <c r="E1524" s="13" t="s">
        <v>410</v>
      </c>
      <c r="F1524" s="12" t="s">
        <v>50</v>
      </c>
      <c r="G1524" s="53">
        <f>G1525</f>
        <v>0</v>
      </c>
      <c r="H1524" s="111"/>
      <c r="I1524" s="112"/>
      <c r="J1524" s="111"/>
      <c r="K1524" s="76"/>
      <c r="L1524" s="75"/>
      <c r="M1524" s="75"/>
      <c r="AG1524" s="75"/>
      <c r="AH1524" s="75"/>
    </row>
    <row r="1525" spans="1:118" hidden="1" x14ac:dyDescent="0.3">
      <c r="A1525" s="169" t="s">
        <v>412</v>
      </c>
      <c r="B1525" s="21">
        <v>936</v>
      </c>
      <c r="C1525" s="15" t="s">
        <v>183</v>
      </c>
      <c r="D1525" s="15" t="s">
        <v>117</v>
      </c>
      <c r="E1525" s="65" t="s">
        <v>363</v>
      </c>
      <c r="F1525" s="65" t="s">
        <v>50</v>
      </c>
      <c r="G1525" s="53">
        <f>G1526</f>
        <v>0</v>
      </c>
      <c r="H1525" s="111"/>
      <c r="I1525" s="112"/>
      <c r="J1525" s="111"/>
      <c r="K1525" s="76"/>
      <c r="L1525" s="75"/>
      <c r="M1525" s="75"/>
      <c r="AG1525" s="75"/>
      <c r="AH1525" s="75"/>
    </row>
    <row r="1526" spans="1:118" ht="81" hidden="1" customHeight="1" x14ac:dyDescent="0.3">
      <c r="A1526" s="214" t="s">
        <v>362</v>
      </c>
      <c r="B1526" s="21">
        <v>936</v>
      </c>
      <c r="C1526" s="15" t="s">
        <v>183</v>
      </c>
      <c r="D1526" s="15" t="s">
        <v>117</v>
      </c>
      <c r="E1526" s="13" t="s">
        <v>364</v>
      </c>
      <c r="F1526" s="13" t="s">
        <v>50</v>
      </c>
      <c r="G1526" s="53">
        <f>G1527</f>
        <v>0</v>
      </c>
      <c r="H1526" s="111"/>
      <c r="I1526" s="112"/>
      <c r="J1526" s="111"/>
      <c r="K1526" s="76"/>
      <c r="L1526" s="75"/>
      <c r="M1526" s="75"/>
      <c r="AG1526" s="75"/>
      <c r="AH1526" s="75"/>
    </row>
    <row r="1527" spans="1:118" ht="43.5" hidden="1" customHeight="1" x14ac:dyDescent="0.3">
      <c r="A1527" s="169" t="s">
        <v>264</v>
      </c>
      <c r="B1527" s="21">
        <v>936</v>
      </c>
      <c r="C1527" s="15" t="s">
        <v>183</v>
      </c>
      <c r="D1527" s="15" t="s">
        <v>117</v>
      </c>
      <c r="E1527" s="13" t="s">
        <v>364</v>
      </c>
      <c r="F1527" s="12" t="s">
        <v>261</v>
      </c>
      <c r="G1527" s="53">
        <v>0</v>
      </c>
      <c r="H1527" s="111"/>
      <c r="I1527" s="112"/>
      <c r="J1527" s="111"/>
      <c r="K1527" s="76"/>
      <c r="L1527" s="75"/>
      <c r="M1527" s="75"/>
      <c r="AG1527" s="75"/>
      <c r="AH1527" s="75"/>
    </row>
    <row r="1528" spans="1:118" ht="48.75" customHeight="1" x14ac:dyDescent="0.3">
      <c r="A1528" s="224" t="s">
        <v>894</v>
      </c>
      <c r="B1528" s="21">
        <v>936</v>
      </c>
      <c r="C1528" s="6" t="s">
        <v>183</v>
      </c>
      <c r="D1528" s="6" t="s">
        <v>117</v>
      </c>
      <c r="E1528" s="13" t="s">
        <v>878</v>
      </c>
      <c r="F1528" s="12" t="s">
        <v>50</v>
      </c>
      <c r="G1528" s="53">
        <f>G1529</f>
        <v>800</v>
      </c>
      <c r="H1528" s="111"/>
      <c r="I1528" s="112"/>
      <c r="J1528" s="111"/>
      <c r="K1528" s="76"/>
      <c r="L1528" s="75"/>
      <c r="M1528" s="75"/>
      <c r="AG1528" s="75"/>
      <c r="AH1528" s="75"/>
    </row>
    <row r="1529" spans="1:118" ht="43.5" customHeight="1" x14ac:dyDescent="0.3">
      <c r="A1529" s="138" t="s">
        <v>264</v>
      </c>
      <c r="B1529" s="21">
        <v>936</v>
      </c>
      <c r="C1529" s="6" t="s">
        <v>183</v>
      </c>
      <c r="D1529" s="6" t="s">
        <v>117</v>
      </c>
      <c r="E1529" s="13" t="s">
        <v>878</v>
      </c>
      <c r="F1529" s="12" t="s">
        <v>261</v>
      </c>
      <c r="G1529" s="53">
        <f>CQ1529+CT1529</f>
        <v>800</v>
      </c>
      <c r="H1529" s="111"/>
      <c r="I1529" s="112">
        <v>500</v>
      </c>
      <c r="J1529" s="111"/>
      <c r="K1529" s="76"/>
      <c r="L1529" s="75"/>
      <c r="M1529" s="75"/>
      <c r="AG1529" s="75"/>
      <c r="AH1529" s="75"/>
      <c r="AO1529" s="145">
        <v>250</v>
      </c>
      <c r="BO1529" s="230">
        <v>750</v>
      </c>
      <c r="CQ1529" s="94">
        <v>866</v>
      </c>
      <c r="CT1529" s="250">
        <v>-66</v>
      </c>
    </row>
    <row r="1530" spans="1:118" ht="45.75" customHeight="1" x14ac:dyDescent="0.3">
      <c r="A1530" s="151" t="s">
        <v>161</v>
      </c>
      <c r="B1530" s="21">
        <v>936</v>
      </c>
      <c r="C1530" s="6" t="s">
        <v>183</v>
      </c>
      <c r="D1530" s="6" t="s">
        <v>117</v>
      </c>
      <c r="E1530" s="13" t="s">
        <v>99</v>
      </c>
      <c r="F1530" s="29" t="s">
        <v>50</v>
      </c>
      <c r="G1530" s="53">
        <f>G1531</f>
        <v>7130.6190000000006</v>
      </c>
      <c r="H1530" s="111"/>
      <c r="I1530" s="112"/>
      <c r="J1530" s="111"/>
      <c r="K1530" s="76"/>
      <c r="L1530" s="75"/>
      <c r="M1530" s="75"/>
      <c r="AG1530" s="75"/>
      <c r="AH1530" s="75"/>
    </row>
    <row r="1531" spans="1:118" ht="57.75" customHeight="1" x14ac:dyDescent="0.3">
      <c r="A1531" s="151" t="s">
        <v>11</v>
      </c>
      <c r="B1531" s="21">
        <v>936</v>
      </c>
      <c r="C1531" s="6" t="s">
        <v>183</v>
      </c>
      <c r="D1531" s="6" t="s">
        <v>117</v>
      </c>
      <c r="E1531" s="13" t="s">
        <v>29</v>
      </c>
      <c r="F1531" s="12" t="s">
        <v>50</v>
      </c>
      <c r="G1531" s="98">
        <f>G1532+G1539+G1541+G1547+G1543+G1545</f>
        <v>7130.6190000000006</v>
      </c>
      <c r="H1531" s="132"/>
      <c r="I1531" s="133"/>
      <c r="J1531" s="132"/>
      <c r="K1531" s="76"/>
      <c r="L1531" s="75"/>
      <c r="M1531" s="75"/>
      <c r="AG1531" s="75"/>
      <c r="AH1531" s="75"/>
    </row>
    <row r="1532" spans="1:118" ht="78" customHeight="1" x14ac:dyDescent="0.3">
      <c r="A1532" s="138" t="s">
        <v>249</v>
      </c>
      <c r="B1532" s="11">
        <v>936</v>
      </c>
      <c r="C1532" s="6" t="s">
        <v>183</v>
      </c>
      <c r="D1532" s="6" t="s">
        <v>117</v>
      </c>
      <c r="E1532" s="12" t="s">
        <v>840</v>
      </c>
      <c r="F1532" s="12" t="s">
        <v>50</v>
      </c>
      <c r="G1532" s="53">
        <f>G1533+G1535+G1537+DN1532</f>
        <v>3811.8550000000005</v>
      </c>
      <c r="H1532" s="111"/>
      <c r="I1532" s="112"/>
      <c r="J1532" s="111"/>
      <c r="K1532" s="76"/>
      <c r="L1532" s="75"/>
      <c r="M1532" s="75"/>
      <c r="AG1532" s="75"/>
      <c r="AH1532" s="75"/>
    </row>
    <row r="1533" spans="1:118" ht="108.75" customHeight="1" x14ac:dyDescent="0.3">
      <c r="A1533" s="138" t="s">
        <v>1131</v>
      </c>
      <c r="B1533" s="21">
        <v>936</v>
      </c>
      <c r="C1533" s="6" t="s">
        <v>183</v>
      </c>
      <c r="D1533" s="6" t="s">
        <v>117</v>
      </c>
      <c r="E1533" s="12" t="s">
        <v>1020</v>
      </c>
      <c r="F1533" s="12" t="s">
        <v>50</v>
      </c>
      <c r="G1533" s="53">
        <f>G1534</f>
        <v>1133.0740000000001</v>
      </c>
      <c r="H1533" s="111"/>
      <c r="I1533" s="112"/>
      <c r="J1533" s="111"/>
      <c r="K1533" s="76"/>
      <c r="L1533" s="75"/>
      <c r="M1533" s="75"/>
      <c r="AG1533" s="75"/>
      <c r="AH1533" s="75"/>
    </row>
    <row r="1534" spans="1:118" ht="37.5" x14ac:dyDescent="0.3">
      <c r="A1534" s="138" t="s">
        <v>425</v>
      </c>
      <c r="B1534" s="21">
        <v>936</v>
      </c>
      <c r="C1534" s="6" t="s">
        <v>183</v>
      </c>
      <c r="D1534" s="6" t="s">
        <v>117</v>
      </c>
      <c r="E1534" s="12" t="s">
        <v>1020</v>
      </c>
      <c r="F1534" s="1">
        <v>200</v>
      </c>
      <c r="G1534" s="105">
        <f>CT1534+DN1534</f>
        <v>1133.0740000000001</v>
      </c>
      <c r="H1534" s="132"/>
      <c r="I1534" s="133"/>
      <c r="J1534" s="132"/>
      <c r="K1534" s="76">
        <v>1000</v>
      </c>
      <c r="L1534" s="76"/>
      <c r="M1534" s="75"/>
      <c r="Z1534">
        <v>211.25299999999999</v>
      </c>
      <c r="AG1534" s="75"/>
      <c r="AH1534" s="75"/>
      <c r="AK1534" s="75">
        <v>0</v>
      </c>
      <c r="AP1534" s="146">
        <v>1500</v>
      </c>
      <c r="CT1534" s="250">
        <v>1500</v>
      </c>
      <c r="DN1534" s="260">
        <v>-366.92599999999999</v>
      </c>
    </row>
    <row r="1535" spans="1:118" ht="131.25" x14ac:dyDescent="0.3">
      <c r="A1535" s="138" t="s">
        <v>1133</v>
      </c>
      <c r="B1535" s="21">
        <v>936</v>
      </c>
      <c r="C1535" s="6" t="s">
        <v>183</v>
      </c>
      <c r="D1535" s="6" t="s">
        <v>117</v>
      </c>
      <c r="E1535" s="12" t="s">
        <v>1019</v>
      </c>
      <c r="F1535" s="12" t="s">
        <v>50</v>
      </c>
      <c r="G1535" s="98">
        <f>G1536</f>
        <v>1215.6190000000001</v>
      </c>
      <c r="H1535" s="132"/>
      <c r="I1535" s="133"/>
      <c r="J1535" s="132"/>
      <c r="K1535" s="76"/>
      <c r="L1535" s="76"/>
      <c r="M1535" s="75"/>
      <c r="AG1535" s="75"/>
      <c r="AH1535" s="75"/>
    </row>
    <row r="1536" spans="1:118" ht="37.5" x14ac:dyDescent="0.3">
      <c r="A1536" s="138" t="s">
        <v>425</v>
      </c>
      <c r="B1536" s="21">
        <v>936</v>
      </c>
      <c r="C1536" s="6" t="s">
        <v>183</v>
      </c>
      <c r="D1536" s="6" t="s">
        <v>117</v>
      </c>
      <c r="E1536" s="12" t="s">
        <v>1019</v>
      </c>
      <c r="F1536" s="1">
        <v>200</v>
      </c>
      <c r="G1536" s="105">
        <f>CT1536+DN1536</f>
        <v>1215.6190000000001</v>
      </c>
      <c r="H1536" s="132"/>
      <c r="I1536" s="133"/>
      <c r="J1536" s="132"/>
      <c r="K1536" s="76">
        <v>1000</v>
      </c>
      <c r="L1536" s="75"/>
      <c r="M1536" s="75"/>
      <c r="Z1536">
        <v>211.047</v>
      </c>
      <c r="AG1536" s="75"/>
      <c r="AH1536" s="75"/>
      <c r="AK1536" s="75">
        <v>0</v>
      </c>
      <c r="AP1536" s="146">
        <v>1401.1849999999999</v>
      </c>
      <c r="CT1536" s="250">
        <v>1500</v>
      </c>
      <c r="DN1536" s="260">
        <v>-284.38099999999997</v>
      </c>
    </row>
    <row r="1537" spans="1:118" ht="131.25" x14ac:dyDescent="0.3">
      <c r="A1537" s="138" t="s">
        <v>1134</v>
      </c>
      <c r="B1537" s="21">
        <v>936</v>
      </c>
      <c r="C1537" s="6" t="s">
        <v>183</v>
      </c>
      <c r="D1537" s="6" t="s">
        <v>117</v>
      </c>
      <c r="E1537" s="12" t="s">
        <v>1021</v>
      </c>
      <c r="F1537" s="12" t="s">
        <v>50</v>
      </c>
      <c r="G1537" s="105">
        <f>G1538</f>
        <v>1463.162</v>
      </c>
      <c r="H1537" s="132"/>
      <c r="I1537" s="133"/>
      <c r="J1537" s="132"/>
      <c r="K1537" s="76"/>
      <c r="L1537" s="75"/>
      <c r="M1537" s="75"/>
      <c r="AG1537" s="75"/>
      <c r="AH1537" s="75"/>
    </row>
    <row r="1538" spans="1:118" ht="56.25" x14ac:dyDescent="0.3">
      <c r="A1538" s="138" t="s">
        <v>264</v>
      </c>
      <c r="B1538" s="21">
        <v>936</v>
      </c>
      <c r="C1538" s="6" t="s">
        <v>183</v>
      </c>
      <c r="D1538" s="6" t="s">
        <v>117</v>
      </c>
      <c r="E1538" s="12" t="s">
        <v>1021</v>
      </c>
      <c r="F1538" s="1">
        <v>600</v>
      </c>
      <c r="G1538" s="105">
        <f>CT1538+DN1538</f>
        <v>1463.162</v>
      </c>
      <c r="H1538" s="132"/>
      <c r="I1538" s="133"/>
      <c r="J1538" s="132"/>
      <c r="K1538" s="76"/>
      <c r="L1538" s="75"/>
      <c r="M1538" s="75"/>
      <c r="AG1538" s="75"/>
      <c r="AH1538" s="75"/>
      <c r="CT1538" s="250">
        <v>1500</v>
      </c>
      <c r="DN1538" s="260">
        <v>-36.838000000000001</v>
      </c>
    </row>
    <row r="1539" spans="1:118" ht="112.5" x14ac:dyDescent="0.3">
      <c r="A1539" s="138" t="s">
        <v>1131</v>
      </c>
      <c r="B1539" s="21">
        <v>936</v>
      </c>
      <c r="C1539" s="6" t="s">
        <v>183</v>
      </c>
      <c r="D1539" s="6" t="s">
        <v>117</v>
      </c>
      <c r="E1539" s="12" t="s">
        <v>1025</v>
      </c>
      <c r="F1539" s="12" t="s">
        <v>50</v>
      </c>
      <c r="G1539" s="98">
        <f>G1540</f>
        <v>153.4</v>
      </c>
      <c r="H1539" s="132"/>
      <c r="I1539" s="133"/>
      <c r="J1539" s="132"/>
      <c r="K1539" s="76"/>
      <c r="L1539" s="75"/>
      <c r="M1539" s="75"/>
      <c r="AG1539" s="75"/>
      <c r="AH1539" s="75"/>
    </row>
    <row r="1540" spans="1:118" ht="37.5" x14ac:dyDescent="0.3">
      <c r="A1540" s="138" t="s">
        <v>425</v>
      </c>
      <c r="B1540" s="21">
        <v>936</v>
      </c>
      <c r="C1540" s="6" t="s">
        <v>183</v>
      </c>
      <c r="D1540" s="6" t="s">
        <v>117</v>
      </c>
      <c r="E1540" s="12" t="s">
        <v>1025</v>
      </c>
      <c r="F1540" s="1">
        <v>200</v>
      </c>
      <c r="G1540" s="98">
        <f>CU1540+DF1540</f>
        <v>153.4</v>
      </c>
      <c r="H1540" s="132"/>
      <c r="I1540" s="133"/>
      <c r="J1540" s="132"/>
      <c r="K1540" s="76"/>
      <c r="L1540" s="75"/>
      <c r="M1540" s="75">
        <v>364.363</v>
      </c>
      <c r="AG1540" s="75"/>
      <c r="AH1540" s="75"/>
      <c r="AK1540" s="75">
        <v>0</v>
      </c>
      <c r="AQ1540" s="146">
        <v>215</v>
      </c>
      <c r="CU1540" s="250">
        <v>203</v>
      </c>
      <c r="DF1540" s="187">
        <v>-49.6</v>
      </c>
    </row>
    <row r="1541" spans="1:118" ht="112.5" hidden="1" x14ac:dyDescent="0.3">
      <c r="A1541" s="138" t="s">
        <v>712</v>
      </c>
      <c r="B1541" s="21">
        <v>936</v>
      </c>
      <c r="C1541" s="6" t="s">
        <v>183</v>
      </c>
      <c r="D1541" s="6" t="s">
        <v>117</v>
      </c>
      <c r="E1541" s="13" t="s">
        <v>745</v>
      </c>
      <c r="F1541" s="12" t="s">
        <v>50</v>
      </c>
      <c r="G1541" s="98">
        <f>G1542</f>
        <v>0</v>
      </c>
      <c r="H1541" s="132"/>
      <c r="I1541" s="133"/>
      <c r="J1541" s="132"/>
      <c r="K1541" s="76"/>
      <c r="L1541" s="75"/>
      <c r="M1541" s="75"/>
      <c r="AG1541" s="75"/>
      <c r="AH1541" s="75"/>
    </row>
    <row r="1542" spans="1:118" ht="56.25" hidden="1" x14ac:dyDescent="0.3">
      <c r="A1542" s="138" t="s">
        <v>264</v>
      </c>
      <c r="B1542" s="21">
        <v>936</v>
      </c>
      <c r="C1542" s="6" t="s">
        <v>183</v>
      </c>
      <c r="D1542" s="6" t="s">
        <v>117</v>
      </c>
      <c r="E1542" s="13" t="s">
        <v>745</v>
      </c>
      <c r="F1542" s="1">
        <v>600</v>
      </c>
      <c r="G1542" s="98">
        <v>0</v>
      </c>
      <c r="H1542" s="132"/>
      <c r="I1542" s="133"/>
      <c r="J1542" s="132"/>
      <c r="K1542" s="76"/>
      <c r="L1542" s="75"/>
      <c r="M1542" s="75">
        <v>240.745</v>
      </c>
      <c r="AG1542" s="75"/>
      <c r="AH1542" s="75"/>
      <c r="AK1542" s="75">
        <v>0</v>
      </c>
      <c r="AQ1542" s="146">
        <v>191</v>
      </c>
    </row>
    <row r="1543" spans="1:118" ht="131.25" x14ac:dyDescent="0.3">
      <c r="A1543" s="138" t="s">
        <v>1132</v>
      </c>
      <c r="B1543" s="21">
        <v>936</v>
      </c>
      <c r="C1543" s="6" t="s">
        <v>183</v>
      </c>
      <c r="D1543" s="6" t="s">
        <v>117</v>
      </c>
      <c r="E1543" s="12" t="s">
        <v>1026</v>
      </c>
      <c r="F1543" s="12" t="s">
        <v>50</v>
      </c>
      <c r="G1543" s="98">
        <f>G1544</f>
        <v>787.197</v>
      </c>
      <c r="H1543" s="132"/>
      <c r="I1543" s="133"/>
      <c r="J1543" s="132"/>
      <c r="K1543" s="76"/>
      <c r="L1543" s="75"/>
      <c r="M1543" s="75"/>
      <c r="AG1543" s="75"/>
      <c r="AH1543" s="75"/>
    </row>
    <row r="1544" spans="1:118" ht="37.5" x14ac:dyDescent="0.3">
      <c r="A1544" s="138" t="s">
        <v>425</v>
      </c>
      <c r="B1544" s="21">
        <v>936</v>
      </c>
      <c r="C1544" s="6" t="s">
        <v>183</v>
      </c>
      <c r="D1544" s="6" t="s">
        <v>117</v>
      </c>
      <c r="E1544" s="12" t="s">
        <v>1026</v>
      </c>
      <c r="F1544" s="1">
        <v>200</v>
      </c>
      <c r="G1544" s="98">
        <f>CU1544+DF1544</f>
        <v>787.197</v>
      </c>
      <c r="H1544" s="132"/>
      <c r="I1544" s="133"/>
      <c r="J1544" s="132"/>
      <c r="K1544" s="76"/>
      <c r="L1544" s="75"/>
      <c r="M1544" s="75"/>
      <c r="AG1544" s="75"/>
      <c r="AH1544" s="75"/>
      <c r="CU1544" s="250">
        <v>971.29700000000003</v>
      </c>
      <c r="DF1544" s="187">
        <v>-184.1</v>
      </c>
    </row>
    <row r="1545" spans="1:118" ht="131.25" x14ac:dyDescent="0.3">
      <c r="A1545" s="138" t="s">
        <v>1135</v>
      </c>
      <c r="B1545" s="21">
        <v>936</v>
      </c>
      <c r="C1545" s="6" t="s">
        <v>183</v>
      </c>
      <c r="D1545" s="6" t="s">
        <v>117</v>
      </c>
      <c r="E1545" s="12" t="s">
        <v>1027</v>
      </c>
      <c r="F1545" s="12" t="s">
        <v>50</v>
      </c>
      <c r="G1545" s="98">
        <f>G1546</f>
        <v>710.9670000000001</v>
      </c>
      <c r="H1545" s="132"/>
      <c r="I1545" s="133"/>
      <c r="J1545" s="132"/>
      <c r="K1545" s="76"/>
      <c r="L1545" s="75"/>
      <c r="M1545" s="75"/>
      <c r="AG1545" s="75"/>
      <c r="AH1545" s="75"/>
    </row>
    <row r="1546" spans="1:118" ht="56.25" x14ac:dyDescent="0.3">
      <c r="A1546" s="138" t="s">
        <v>264</v>
      </c>
      <c r="B1546" s="21">
        <v>936</v>
      </c>
      <c r="C1546" s="6" t="s">
        <v>183</v>
      </c>
      <c r="D1546" s="6" t="s">
        <v>117</v>
      </c>
      <c r="E1546" s="12" t="s">
        <v>1027</v>
      </c>
      <c r="F1546" s="1">
        <v>600</v>
      </c>
      <c r="G1546" s="98">
        <f>CU1546+DF1546</f>
        <v>710.9670000000001</v>
      </c>
      <c r="H1546" s="132"/>
      <c r="I1546" s="133"/>
      <c r="J1546" s="132"/>
      <c r="K1546" s="76"/>
      <c r="L1546" s="75"/>
      <c r="M1546" s="75"/>
      <c r="AG1546" s="75"/>
      <c r="AH1546" s="75"/>
      <c r="CU1546" s="250">
        <v>728.76700000000005</v>
      </c>
      <c r="DF1546" s="187">
        <v>-17.8</v>
      </c>
    </row>
    <row r="1547" spans="1:118" x14ac:dyDescent="0.3">
      <c r="A1547" s="138" t="s">
        <v>62</v>
      </c>
      <c r="B1547" s="21">
        <v>936</v>
      </c>
      <c r="C1547" s="6" t="s">
        <v>183</v>
      </c>
      <c r="D1547" s="6" t="s">
        <v>117</v>
      </c>
      <c r="E1547" s="12" t="s">
        <v>251</v>
      </c>
      <c r="F1547" s="12" t="s">
        <v>50</v>
      </c>
      <c r="G1547" s="98">
        <f>G1548+G1552+G1554</f>
        <v>1667.2</v>
      </c>
      <c r="H1547" s="132"/>
      <c r="I1547" s="133"/>
      <c r="J1547" s="132"/>
      <c r="K1547" s="76"/>
      <c r="L1547" s="75"/>
      <c r="M1547" s="75"/>
      <c r="AG1547" s="75"/>
      <c r="AH1547" s="75"/>
    </row>
    <row r="1548" spans="1:118" ht="133.5" customHeight="1" x14ac:dyDescent="0.3">
      <c r="A1548" s="138" t="s">
        <v>1088</v>
      </c>
      <c r="B1548" s="21">
        <v>936</v>
      </c>
      <c r="C1548" s="6" t="s">
        <v>183</v>
      </c>
      <c r="D1548" s="6" t="s">
        <v>117</v>
      </c>
      <c r="E1548" s="13" t="s">
        <v>1022</v>
      </c>
      <c r="F1548" s="12" t="s">
        <v>50</v>
      </c>
      <c r="G1548" s="98">
        <f>G1549</f>
        <v>322.2</v>
      </c>
      <c r="H1548" s="132"/>
      <c r="I1548" s="133"/>
      <c r="J1548" s="132"/>
      <c r="K1548" s="76"/>
      <c r="L1548" s="75"/>
      <c r="M1548" s="75"/>
      <c r="AG1548" s="75"/>
      <c r="AH1548" s="75"/>
    </row>
    <row r="1549" spans="1:118" ht="56.25" x14ac:dyDescent="0.3">
      <c r="A1549" s="138" t="s">
        <v>264</v>
      </c>
      <c r="B1549" s="21">
        <v>936</v>
      </c>
      <c r="C1549" s="6" t="s">
        <v>183</v>
      </c>
      <c r="D1549" s="6" t="s">
        <v>117</v>
      </c>
      <c r="E1549" s="13" t="s">
        <v>1022</v>
      </c>
      <c r="F1549" s="1">
        <v>200</v>
      </c>
      <c r="G1549" s="98">
        <f>CU1549</f>
        <v>322.2</v>
      </c>
      <c r="H1549" s="132"/>
      <c r="I1549" s="133"/>
      <c r="J1549" s="132"/>
      <c r="K1549" s="76"/>
      <c r="L1549" s="75"/>
      <c r="M1549" s="75">
        <v>245</v>
      </c>
      <c r="AG1549" s="75"/>
      <c r="AH1549" s="75"/>
      <c r="AK1549" s="75">
        <v>0</v>
      </c>
      <c r="AQ1549" s="146">
        <v>400.10199999999998</v>
      </c>
      <c r="CU1549" s="250">
        <v>322.2</v>
      </c>
    </row>
    <row r="1550" spans="1:118" ht="75" hidden="1" x14ac:dyDescent="0.3">
      <c r="A1550" s="138" t="s">
        <v>725</v>
      </c>
      <c r="B1550" s="21">
        <v>936</v>
      </c>
      <c r="C1550" s="6" t="s">
        <v>183</v>
      </c>
      <c r="D1550" s="6" t="s">
        <v>117</v>
      </c>
      <c r="E1550" s="13" t="s">
        <v>746</v>
      </c>
      <c r="F1550" s="12" t="s">
        <v>50</v>
      </c>
      <c r="G1550" s="98">
        <f>G1551</f>
        <v>0</v>
      </c>
      <c r="H1550" s="132"/>
      <c r="I1550" s="133"/>
      <c r="J1550" s="132"/>
      <c r="K1550" s="76"/>
      <c r="L1550" s="75"/>
      <c r="M1550" s="75"/>
      <c r="AG1550" s="75"/>
      <c r="AH1550" s="75"/>
    </row>
    <row r="1551" spans="1:118" ht="56.25" hidden="1" x14ac:dyDescent="0.3">
      <c r="A1551" s="138" t="s">
        <v>264</v>
      </c>
      <c r="B1551" s="21">
        <v>936</v>
      </c>
      <c r="C1551" s="6" t="s">
        <v>183</v>
      </c>
      <c r="D1551" s="6" t="s">
        <v>117</v>
      </c>
      <c r="E1551" s="13" t="s">
        <v>746</v>
      </c>
      <c r="F1551" s="1">
        <v>600</v>
      </c>
      <c r="G1551" s="98">
        <v>0</v>
      </c>
      <c r="H1551" s="132"/>
      <c r="I1551" s="133"/>
      <c r="J1551" s="132"/>
      <c r="K1551" s="76"/>
      <c r="L1551" s="75"/>
      <c r="M1551" s="75">
        <v>228</v>
      </c>
      <c r="AG1551" s="75"/>
      <c r="AH1551" s="75"/>
      <c r="AQ1551" s="146">
        <v>310</v>
      </c>
    </row>
    <row r="1552" spans="1:118" ht="93.75" x14ac:dyDescent="0.3">
      <c r="A1552" s="138" t="s">
        <v>1089</v>
      </c>
      <c r="B1552" s="21">
        <v>936</v>
      </c>
      <c r="C1552" s="6" t="s">
        <v>183</v>
      </c>
      <c r="D1552" s="6" t="s">
        <v>117</v>
      </c>
      <c r="E1552" s="13" t="s">
        <v>1023</v>
      </c>
      <c r="F1552" s="12" t="s">
        <v>50</v>
      </c>
      <c r="G1552" s="98">
        <f>G1553</f>
        <v>855</v>
      </c>
      <c r="H1552" s="132"/>
      <c r="I1552" s="133"/>
      <c r="J1552" s="132"/>
      <c r="K1552" s="76"/>
      <c r="L1552" s="75"/>
      <c r="M1552" s="75"/>
      <c r="AG1552" s="75"/>
      <c r="AH1552" s="75"/>
    </row>
    <row r="1553" spans="1:112" ht="37.5" x14ac:dyDescent="0.3">
      <c r="A1553" s="138" t="s">
        <v>425</v>
      </c>
      <c r="B1553" s="21">
        <v>936</v>
      </c>
      <c r="C1553" s="6" t="s">
        <v>183</v>
      </c>
      <c r="D1553" s="6" t="s">
        <v>117</v>
      </c>
      <c r="E1553" s="13" t="s">
        <v>1023</v>
      </c>
      <c r="F1553" s="1">
        <v>200</v>
      </c>
      <c r="G1553" s="98">
        <f>CU1553</f>
        <v>855</v>
      </c>
      <c r="H1553" s="132"/>
      <c r="I1553" s="133"/>
      <c r="J1553" s="132"/>
      <c r="K1553" s="76"/>
      <c r="L1553" s="75"/>
      <c r="M1553" s="75"/>
      <c r="AG1553" s="75"/>
      <c r="AH1553" s="75"/>
      <c r="CU1553" s="250">
        <v>855</v>
      </c>
    </row>
    <row r="1554" spans="1:112" ht="93.75" x14ac:dyDescent="0.3">
      <c r="A1554" s="138" t="s">
        <v>1091</v>
      </c>
      <c r="B1554" s="21">
        <v>936</v>
      </c>
      <c r="C1554" s="6" t="s">
        <v>183</v>
      </c>
      <c r="D1554" s="6" t="s">
        <v>117</v>
      </c>
      <c r="E1554" s="13" t="s">
        <v>1024</v>
      </c>
      <c r="F1554" s="12" t="s">
        <v>50</v>
      </c>
      <c r="G1554" s="98">
        <f>G1555</f>
        <v>490</v>
      </c>
      <c r="H1554" s="132"/>
      <c r="I1554" s="133"/>
      <c r="J1554" s="132"/>
      <c r="K1554" s="76"/>
      <c r="L1554" s="75"/>
      <c r="M1554" s="75"/>
      <c r="AG1554" s="75"/>
      <c r="AH1554" s="75"/>
    </row>
    <row r="1555" spans="1:112" ht="56.25" x14ac:dyDescent="0.3">
      <c r="A1555" s="138" t="s">
        <v>264</v>
      </c>
      <c r="B1555" s="21">
        <v>936</v>
      </c>
      <c r="C1555" s="6" t="s">
        <v>183</v>
      </c>
      <c r="D1555" s="6" t="s">
        <v>117</v>
      </c>
      <c r="E1555" s="13" t="s">
        <v>1024</v>
      </c>
      <c r="F1555" s="1">
        <v>600</v>
      </c>
      <c r="G1555" s="98">
        <f>CU1555</f>
        <v>490</v>
      </c>
      <c r="H1555" s="132"/>
      <c r="I1555" s="133"/>
      <c r="J1555" s="132"/>
      <c r="K1555" s="76"/>
      <c r="L1555" s="75"/>
      <c r="M1555" s="75"/>
      <c r="AG1555" s="75"/>
      <c r="AH1555" s="75"/>
      <c r="CU1555" s="250">
        <v>490</v>
      </c>
    </row>
    <row r="1556" spans="1:112" ht="56.25" x14ac:dyDescent="0.3">
      <c r="A1556" s="200" t="s">
        <v>16</v>
      </c>
      <c r="B1556" s="11">
        <v>936</v>
      </c>
      <c r="C1556" s="21">
        <v>13</v>
      </c>
      <c r="D1556" s="12" t="s">
        <v>115</v>
      </c>
      <c r="E1556" s="13" t="s">
        <v>32</v>
      </c>
      <c r="F1556" s="12" t="s">
        <v>50</v>
      </c>
      <c r="G1556" s="98">
        <f>G1557</f>
        <v>11467.9</v>
      </c>
      <c r="H1556" s="132"/>
      <c r="I1556" s="133"/>
      <c r="J1556" s="132"/>
      <c r="K1556" s="76"/>
      <c r="L1556" s="75"/>
      <c r="M1556" s="75"/>
      <c r="AG1556" s="75"/>
      <c r="AH1556" s="75"/>
    </row>
    <row r="1557" spans="1:112" x14ac:dyDescent="0.3">
      <c r="A1557" s="138" t="s">
        <v>409</v>
      </c>
      <c r="B1557" s="11">
        <v>936</v>
      </c>
      <c r="C1557" s="21">
        <v>13</v>
      </c>
      <c r="D1557" s="12" t="s">
        <v>115</v>
      </c>
      <c r="E1557" s="13" t="s">
        <v>44</v>
      </c>
      <c r="F1557" s="12" t="s">
        <v>50</v>
      </c>
      <c r="G1557" s="98">
        <f>G1558</f>
        <v>11467.9</v>
      </c>
      <c r="H1557" s="132"/>
      <c r="I1557" s="133"/>
      <c r="J1557" s="132"/>
      <c r="K1557" s="76"/>
      <c r="L1557" s="75"/>
      <c r="M1557" s="75"/>
      <c r="AG1557" s="75"/>
      <c r="AH1557" s="75"/>
    </row>
    <row r="1558" spans="1:112" ht="22.5" customHeight="1" x14ac:dyDescent="0.3">
      <c r="A1558" s="138" t="s">
        <v>409</v>
      </c>
      <c r="B1558" s="11">
        <v>936</v>
      </c>
      <c r="C1558" s="21">
        <v>13</v>
      </c>
      <c r="D1558" s="12" t="s">
        <v>115</v>
      </c>
      <c r="E1558" s="13" t="s">
        <v>44</v>
      </c>
      <c r="F1558" s="12" t="s">
        <v>50</v>
      </c>
      <c r="G1558" s="98">
        <f>G1559</f>
        <v>11467.9</v>
      </c>
      <c r="H1558" s="132"/>
      <c r="I1558" s="133"/>
      <c r="J1558" s="132"/>
      <c r="K1558" s="76"/>
      <c r="L1558" s="75"/>
      <c r="M1558" s="75"/>
      <c r="AG1558" s="75"/>
      <c r="AH1558" s="75"/>
    </row>
    <row r="1559" spans="1:112" x14ac:dyDescent="0.3">
      <c r="A1559" s="138" t="s">
        <v>188</v>
      </c>
      <c r="B1559" s="11">
        <v>936</v>
      </c>
      <c r="C1559" s="12" t="s">
        <v>189</v>
      </c>
      <c r="D1559" s="6" t="s">
        <v>115</v>
      </c>
      <c r="E1559" s="12" t="s">
        <v>192</v>
      </c>
      <c r="F1559" s="12" t="s">
        <v>50</v>
      </c>
      <c r="G1559" s="98">
        <f>G1560</f>
        <v>11467.9</v>
      </c>
      <c r="H1559" s="132"/>
      <c r="I1559" s="133"/>
      <c r="J1559" s="132"/>
      <c r="K1559" s="76"/>
      <c r="L1559" s="75"/>
      <c r="M1559" s="75"/>
      <c r="AG1559" s="75"/>
      <c r="AH1559" s="75"/>
    </row>
    <row r="1560" spans="1:112" ht="37.5" x14ac:dyDescent="0.3">
      <c r="A1560" s="138" t="s">
        <v>190</v>
      </c>
      <c r="B1560" s="11">
        <v>936</v>
      </c>
      <c r="C1560" s="12" t="s">
        <v>189</v>
      </c>
      <c r="D1560" s="6" t="s">
        <v>115</v>
      </c>
      <c r="E1560" s="12" t="s">
        <v>192</v>
      </c>
      <c r="F1560" s="12" t="s">
        <v>191</v>
      </c>
      <c r="G1560" s="98">
        <f>CS1560+DH1560</f>
        <v>11467.9</v>
      </c>
      <c r="H1560" s="132"/>
      <c r="I1560" s="133"/>
      <c r="J1560" s="132"/>
      <c r="K1560" s="76"/>
      <c r="L1560" s="75"/>
      <c r="M1560" s="75"/>
      <c r="AG1560" s="75"/>
      <c r="AH1560" s="75"/>
      <c r="BE1560" s="218">
        <v>592.43561999999997</v>
      </c>
      <c r="BH1560" s="225">
        <f>62.36164+218.26575</f>
        <v>280.62738999999999</v>
      </c>
      <c r="BN1560" s="229">
        <v>8386</v>
      </c>
      <c r="BX1560" s="146">
        <v>103.6</v>
      </c>
      <c r="CL1560" s="187">
        <v>33.9</v>
      </c>
      <c r="CS1560" s="255">
        <v>12867.9</v>
      </c>
      <c r="DH1560" s="187">
        <v>-1400</v>
      </c>
    </row>
    <row r="1561" spans="1:112" ht="56.25" x14ac:dyDescent="0.3">
      <c r="A1561" s="198" t="s">
        <v>671</v>
      </c>
      <c r="B1561" s="16" t="s">
        <v>670</v>
      </c>
      <c r="C1561" s="9" t="s">
        <v>112</v>
      </c>
      <c r="D1561" s="9" t="s">
        <v>112</v>
      </c>
      <c r="E1561" s="9" t="s">
        <v>49</v>
      </c>
      <c r="F1561" s="9" t="s">
        <v>50</v>
      </c>
      <c r="G1561" s="67">
        <f>G1562</f>
        <v>1100</v>
      </c>
      <c r="H1561" s="111"/>
      <c r="I1561" s="112"/>
      <c r="J1561" s="111"/>
      <c r="K1561" s="94">
        <f>SUM(K9:K1536)</f>
        <v>27471.9</v>
      </c>
      <c r="L1561" s="95">
        <f>SUM(L9:L1536)</f>
        <v>1.0331291377951857E-11</v>
      </c>
      <c r="M1561" s="95">
        <f>SUM(M9:M1551)</f>
        <v>21018.023000000005</v>
      </c>
      <c r="N1561" s="101">
        <f>SUM(N9:N1551)</f>
        <v>853</v>
      </c>
      <c r="O1561" s="101">
        <f>SUM(O9:O1551)</f>
        <v>30031.9</v>
      </c>
      <c r="W1561">
        <f>SUM(W9:W1551)</f>
        <v>33574.6</v>
      </c>
      <c r="X1561">
        <f>SUM(X9:X1551)</f>
        <v>2020</v>
      </c>
      <c r="Y1561">
        <f>SUM(Y9:Y1551)</f>
        <v>138.60000000000002</v>
      </c>
      <c r="Z1561">
        <f>SUM(Z9:Z1551)</f>
        <v>0</v>
      </c>
      <c r="AC1561">
        <f t="shared" ref="AC1561:AI1561" si="3">SUM(AC9:AC1551)</f>
        <v>6009.9999999999991</v>
      </c>
      <c r="AD1561">
        <f t="shared" si="3"/>
        <v>0</v>
      </c>
      <c r="AE1561" s="104">
        <f t="shared" si="3"/>
        <v>1.4210854715202004E-14</v>
      </c>
      <c r="AF1561" s="104">
        <f t="shared" si="3"/>
        <v>0</v>
      </c>
      <c r="AG1561" s="75">
        <f t="shared" si="3"/>
        <v>15681.468999999988</v>
      </c>
      <c r="AH1561" s="96">
        <f t="shared" si="3"/>
        <v>-10494.350000000004</v>
      </c>
      <c r="AI1561" s="75">
        <f t="shared" si="3"/>
        <v>0</v>
      </c>
      <c r="AJ1561" s="75"/>
    </row>
    <row r="1562" spans="1:112" x14ac:dyDescent="0.3">
      <c r="A1562" s="197" t="s">
        <v>114</v>
      </c>
      <c r="B1562" s="10">
        <v>947</v>
      </c>
      <c r="C1562" s="7" t="s">
        <v>115</v>
      </c>
      <c r="D1562" s="7" t="s">
        <v>112</v>
      </c>
      <c r="E1562" s="7" t="s">
        <v>49</v>
      </c>
      <c r="F1562" s="7" t="s">
        <v>50</v>
      </c>
      <c r="G1562" s="64">
        <f>G1563</f>
        <v>1100</v>
      </c>
      <c r="H1562" s="111"/>
      <c r="I1562" s="112"/>
      <c r="J1562" s="111"/>
      <c r="K1562">
        <f>SUM(K492:K1551)</f>
        <v>24314.7</v>
      </c>
      <c r="L1562">
        <f>SUM(L492:L1551)</f>
        <v>-37347.3364</v>
      </c>
      <c r="M1562">
        <f>SUM(M492:M1551)</f>
        <v>17058.258000000002</v>
      </c>
      <c r="T1562" s="104">
        <f>SUM(T493:T1551)</f>
        <v>20753.358640000002</v>
      </c>
      <c r="U1562" s="104">
        <f>SUM(U493:U1551)</f>
        <v>-225.15999999999997</v>
      </c>
      <c r="V1562" s="104">
        <f>T1562+U1562</f>
        <v>20528.198640000002</v>
      </c>
      <c r="W1562">
        <f>SUM(W492:W1551)</f>
        <v>30015</v>
      </c>
    </row>
    <row r="1563" spans="1:112" ht="56.25" x14ac:dyDescent="0.3">
      <c r="A1563" s="150" t="s">
        <v>118</v>
      </c>
      <c r="B1563" s="10">
        <v>947</v>
      </c>
      <c r="C1563" s="7" t="s">
        <v>115</v>
      </c>
      <c r="D1563" s="7" t="s">
        <v>119</v>
      </c>
      <c r="E1563" s="7" t="s">
        <v>49</v>
      </c>
      <c r="F1563" s="17" t="s">
        <v>50</v>
      </c>
      <c r="G1563" s="64">
        <f>G1564</f>
        <v>1100</v>
      </c>
      <c r="H1563" s="111"/>
      <c r="I1563" s="112"/>
      <c r="J1563" s="111"/>
      <c r="K1563" s="77">
        <f>SUM(K19:K375)</f>
        <v>2608.1999999999998</v>
      </c>
      <c r="L1563" s="77">
        <f>SUM(L19:L375)</f>
        <v>37347.336400000007</v>
      </c>
      <c r="M1563" s="77">
        <f>SUM(M19:M375)</f>
        <v>2661.7539999999999</v>
      </c>
      <c r="T1563">
        <f>SUM(T20:T375)</f>
        <v>1322.9413600000003</v>
      </c>
      <c r="U1563">
        <f>SUM(U20:U375)</f>
        <v>135.16</v>
      </c>
      <c r="V1563" s="104">
        <f t="shared" ref="V1563:V1565" si="4">T1563+U1563</f>
        <v>1458.1013600000003</v>
      </c>
      <c r="W1563">
        <f>SUM(W20:W375)</f>
        <v>3359.6</v>
      </c>
    </row>
    <row r="1564" spans="1:112" ht="56.25" x14ac:dyDescent="0.3">
      <c r="A1564" s="151" t="s">
        <v>413</v>
      </c>
      <c r="B1564" s="11">
        <v>947</v>
      </c>
      <c r="C1564" s="12" t="s">
        <v>115</v>
      </c>
      <c r="D1564" s="12" t="s">
        <v>119</v>
      </c>
      <c r="E1564" s="34" t="s">
        <v>397</v>
      </c>
      <c r="F1564" s="12" t="s">
        <v>50</v>
      </c>
      <c r="G1564" s="53">
        <f>G1565</f>
        <v>1100</v>
      </c>
      <c r="H1564" s="111"/>
      <c r="I1564" s="112"/>
      <c r="J1564" s="111"/>
      <c r="K1564" s="77">
        <f>SUM(K383:K431)</f>
        <v>0</v>
      </c>
      <c r="L1564" s="77">
        <f>SUM(L383:L431)</f>
        <v>0</v>
      </c>
      <c r="M1564" s="77">
        <f>SUM(M383:M431)</f>
        <v>1100</v>
      </c>
      <c r="T1564">
        <f>SUM(T384:T431)</f>
        <v>0</v>
      </c>
      <c r="U1564">
        <f>SUM(U384:U431)</f>
        <v>50</v>
      </c>
      <c r="V1564" s="104">
        <f t="shared" si="4"/>
        <v>50</v>
      </c>
    </row>
    <row r="1565" spans="1:112" ht="75" x14ac:dyDescent="0.3">
      <c r="A1565" s="138" t="s">
        <v>103</v>
      </c>
      <c r="B1565" s="11">
        <v>947</v>
      </c>
      <c r="C1565" s="12" t="s">
        <v>115</v>
      </c>
      <c r="D1565" s="12" t="s">
        <v>119</v>
      </c>
      <c r="E1565" s="34" t="s">
        <v>503</v>
      </c>
      <c r="F1565" s="12" t="s">
        <v>50</v>
      </c>
      <c r="G1565" s="53">
        <f>G1566+G1568</f>
        <v>1100</v>
      </c>
      <c r="H1565" s="111"/>
      <c r="I1565" s="112"/>
      <c r="J1565" s="111"/>
      <c r="K1565" s="77">
        <f>SUM(K440:K482)</f>
        <v>549</v>
      </c>
      <c r="L1565" s="77">
        <f>SUM(L440:L482)</f>
        <v>0</v>
      </c>
      <c r="M1565" s="77">
        <f>SUM(M440:M482)</f>
        <v>198.011</v>
      </c>
      <c r="T1565">
        <f>SUM(T432:T482)</f>
        <v>0</v>
      </c>
      <c r="U1565">
        <f>SUM(U432:U482)</f>
        <v>40</v>
      </c>
      <c r="V1565" s="104">
        <f t="shared" si="4"/>
        <v>40</v>
      </c>
      <c r="W1565">
        <f>SUM(W440:W482)</f>
        <v>200</v>
      </c>
    </row>
    <row r="1566" spans="1:112" ht="37.5" x14ac:dyDescent="0.3">
      <c r="A1566" s="138" t="s">
        <v>105</v>
      </c>
      <c r="B1566" s="11">
        <v>947</v>
      </c>
      <c r="C1566" s="12" t="s">
        <v>115</v>
      </c>
      <c r="D1566" s="12" t="s">
        <v>119</v>
      </c>
      <c r="E1566" s="13" t="s">
        <v>398</v>
      </c>
      <c r="F1566" s="13" t="s">
        <v>50</v>
      </c>
      <c r="G1566" s="53">
        <f>G1567</f>
        <v>1100</v>
      </c>
      <c r="H1566" s="111"/>
      <c r="I1566" s="112"/>
      <c r="J1566" s="111"/>
      <c r="T1566" s="104">
        <f>SUM(T1562:T1565)</f>
        <v>22076.300000000003</v>
      </c>
      <c r="U1566" s="104">
        <f>SUM(U1562:U1565)</f>
        <v>0</v>
      </c>
      <c r="V1566" s="104">
        <f>SUM(V1562:V1565)</f>
        <v>22076.300000000003</v>
      </c>
      <c r="W1566">
        <f>SUM(W1562:W1565)</f>
        <v>33574.6</v>
      </c>
    </row>
    <row r="1567" spans="1:112" ht="93.75" x14ac:dyDescent="0.3">
      <c r="A1567" s="138" t="s">
        <v>56</v>
      </c>
      <c r="B1567" s="11">
        <v>947</v>
      </c>
      <c r="C1567" s="12" t="s">
        <v>115</v>
      </c>
      <c r="D1567" s="12" t="s">
        <v>119</v>
      </c>
      <c r="E1567" s="13" t="s">
        <v>398</v>
      </c>
      <c r="F1567" s="13" t="s">
        <v>57</v>
      </c>
      <c r="G1567" s="53">
        <f>CS1567</f>
        <v>1100</v>
      </c>
      <c r="H1567" s="111">
        <v>996.8</v>
      </c>
      <c r="I1567" s="112"/>
      <c r="J1567" s="111"/>
      <c r="BM1567" s="95">
        <v>1025.7</v>
      </c>
      <c r="CP1567" s="251">
        <v>-49</v>
      </c>
      <c r="CS1567" s="255">
        <f>1100.1-0.1</f>
        <v>1100</v>
      </c>
    </row>
    <row r="1568" spans="1:112" ht="37.5" hidden="1" x14ac:dyDescent="0.3">
      <c r="A1568" s="157" t="s">
        <v>374</v>
      </c>
      <c r="B1568" s="11">
        <v>903</v>
      </c>
      <c r="C1568" s="12" t="s">
        <v>115</v>
      </c>
      <c r="D1568" s="12" t="s">
        <v>119</v>
      </c>
      <c r="E1568" s="13" t="s">
        <v>517</v>
      </c>
      <c r="F1568" s="13" t="s">
        <v>50</v>
      </c>
      <c r="G1568" s="53">
        <f>G1569</f>
        <v>0</v>
      </c>
      <c r="H1568" s="111"/>
      <c r="I1568" s="112"/>
      <c r="J1568" s="111"/>
    </row>
    <row r="1569" spans="1:118" ht="93.75" hidden="1" x14ac:dyDescent="0.3">
      <c r="A1569" s="138" t="s">
        <v>56</v>
      </c>
      <c r="B1569" s="11">
        <v>903</v>
      </c>
      <c r="C1569" s="12" t="s">
        <v>115</v>
      </c>
      <c r="D1569" s="12" t="s">
        <v>119</v>
      </c>
      <c r="E1569" s="13" t="s">
        <v>517</v>
      </c>
      <c r="F1569" s="13" t="s">
        <v>57</v>
      </c>
      <c r="G1569" s="53">
        <v>0</v>
      </c>
      <c r="H1569" s="111"/>
      <c r="I1569" s="112"/>
      <c r="J1569" s="111"/>
      <c r="AK1569" s="75">
        <v>793.1</v>
      </c>
    </row>
    <row r="1570" spans="1:118" x14ac:dyDescent="0.3">
      <c r="E1570" s="4"/>
      <c r="F1570" s="3"/>
      <c r="G1570" s="143"/>
      <c r="H1570" s="141">
        <f>SUM(H9:H1569)</f>
        <v>463543.52</v>
      </c>
      <c r="I1570" s="141">
        <f>SUM(I9:I1569)</f>
        <v>463478.57999999996</v>
      </c>
      <c r="J1570" s="141">
        <f>SUM(J9:J1569)</f>
        <v>1515.8999999999999</v>
      </c>
      <c r="AK1570" s="75">
        <f>SUM(AK9:AK1569)</f>
        <v>910922.44999999972</v>
      </c>
      <c r="AN1570" s="145">
        <f t="shared" ref="AN1570:AT1570" si="5">SUM(AN9:AN1567)</f>
        <v>21329.399999999998</v>
      </c>
      <c r="AO1570" s="145">
        <f t="shared" si="5"/>
        <v>19058</v>
      </c>
      <c r="AP1570" s="146">
        <f t="shared" si="5"/>
        <v>117193.177</v>
      </c>
      <c r="AQ1570" s="146">
        <f t="shared" si="5"/>
        <v>9148.8230000000021</v>
      </c>
      <c r="AR1570" s="146">
        <f t="shared" si="5"/>
        <v>0</v>
      </c>
      <c r="AS1570" s="187">
        <f t="shared" si="5"/>
        <v>20137.218000000001</v>
      </c>
      <c r="AT1570" s="187">
        <f t="shared" si="5"/>
        <v>802.98199999999997</v>
      </c>
      <c r="AV1570" s="187">
        <f t="shared" ref="AV1570:BE1570" si="6">SUM(AV9:AV1567)</f>
        <v>1391.2779999999996</v>
      </c>
      <c r="AW1570" s="96">
        <f t="shared" si="6"/>
        <v>0</v>
      </c>
      <c r="AX1570" s="96">
        <f t="shared" si="6"/>
        <v>1034.3219999999997</v>
      </c>
      <c r="AY1570" s="218">
        <f t="shared" si="6"/>
        <v>689.91699999999992</v>
      </c>
      <c r="AZ1570" s="218">
        <f t="shared" si="6"/>
        <v>8148</v>
      </c>
      <c r="BA1570" s="218">
        <f t="shared" si="6"/>
        <v>4.3021142204224816E-16</v>
      </c>
      <c r="BB1570" s="218">
        <f t="shared" si="6"/>
        <v>37476</v>
      </c>
      <c r="BC1570" s="218">
        <f t="shared" si="6"/>
        <v>166.5</v>
      </c>
      <c r="BD1570" s="218">
        <f t="shared" si="6"/>
        <v>79</v>
      </c>
      <c r="BE1570" s="218">
        <f t="shared" si="6"/>
        <v>3521.26</v>
      </c>
      <c r="BF1570" s="104">
        <f>BC1570+BD1570+BE1570</f>
        <v>3766.76</v>
      </c>
      <c r="BG1570" s="225">
        <f>SUM(BG9:BG1567)</f>
        <v>2051.5</v>
      </c>
      <c r="BH1570" s="225">
        <f>SUM(BH9:BH1567)</f>
        <v>5.6843418860808015E-13</v>
      </c>
      <c r="BI1570" s="225">
        <f>SUM(BI9:BI1567)</f>
        <v>0</v>
      </c>
      <c r="BJ1570" s="187">
        <f>SUM(BJ19:BJ1567)</f>
        <v>34.999999999999964</v>
      </c>
      <c r="BK1570" s="218">
        <f t="shared" ref="BK1570:BP1570" si="7">SUM(BK9:BK1567)</f>
        <v>77756.120000000024</v>
      </c>
      <c r="BL1570" s="187">
        <f t="shared" si="7"/>
        <v>-5679.7000000000007</v>
      </c>
      <c r="BM1570" s="229">
        <f t="shared" si="7"/>
        <v>391504.9420000001</v>
      </c>
      <c r="BN1570" s="229">
        <f t="shared" si="7"/>
        <v>93286.14</v>
      </c>
      <c r="BO1570" s="229">
        <f t="shared" si="7"/>
        <v>573200.21</v>
      </c>
      <c r="BP1570" s="229">
        <f t="shared" si="7"/>
        <v>1852.5000000000002</v>
      </c>
      <c r="BQ1570" s="96">
        <f>BM1570+BN1570+BO1570+BP1570</f>
        <v>1059843.7920000001</v>
      </c>
      <c r="BT1570" s="146">
        <f>SUM(BT9:BT1567)</f>
        <v>67109.73</v>
      </c>
      <c r="BU1570" s="146">
        <f>SUM(BU9:BU1567)</f>
        <v>2637.4660000000003</v>
      </c>
      <c r="BX1570" s="146">
        <f>SUM(BX9:BX1567)</f>
        <v>15000</v>
      </c>
      <c r="BY1570" s="146">
        <f>SUM(BY9:BY1567)</f>
        <v>19800.700000000004</v>
      </c>
      <c r="CA1570" s="218">
        <f t="shared" ref="CA1570:CL1570" si="8">SUM(CA9:CA1567)</f>
        <v>13934.447</v>
      </c>
      <c r="CB1570" s="218">
        <f t="shared" si="8"/>
        <v>3400.0000000000005</v>
      </c>
      <c r="CC1570" s="237">
        <f t="shared" si="8"/>
        <v>241779.55</v>
      </c>
      <c r="CD1570" s="218">
        <f t="shared" si="8"/>
        <v>12850.000000000002</v>
      </c>
      <c r="CE1570" s="187">
        <f t="shared" si="8"/>
        <v>2098.0329999999999</v>
      </c>
      <c r="CF1570" s="187">
        <f t="shared" si="8"/>
        <v>7855.0000000000009</v>
      </c>
      <c r="CG1570" s="187">
        <f t="shared" si="8"/>
        <v>5583.1</v>
      </c>
      <c r="CH1570" s="250">
        <f t="shared" si="8"/>
        <v>10928.2</v>
      </c>
      <c r="CI1570" s="187">
        <f t="shared" si="8"/>
        <v>35707.250000000007</v>
      </c>
      <c r="CJ1570" s="187">
        <f t="shared" si="8"/>
        <v>8393</v>
      </c>
      <c r="CK1570" s="187">
        <f t="shared" si="8"/>
        <v>149.9</v>
      </c>
      <c r="CL1570" s="187">
        <f t="shared" si="8"/>
        <v>1635.0000000000002</v>
      </c>
      <c r="CO1570" s="251">
        <f t="shared" ref="CO1570:CX1570" si="9">SUM(CO9:CO1567)</f>
        <v>22481.7</v>
      </c>
      <c r="CP1570" s="251">
        <f t="shared" si="9"/>
        <v>11599.999999999998</v>
      </c>
      <c r="CQ1570" s="94">
        <f t="shared" si="9"/>
        <v>548925.14999999991</v>
      </c>
      <c r="CR1570" s="94">
        <f t="shared" si="9"/>
        <v>57862.8</v>
      </c>
      <c r="CS1570" s="94">
        <f t="shared" si="9"/>
        <v>497108.75</v>
      </c>
      <c r="CT1570" s="250">
        <f t="shared" si="9"/>
        <v>24522.641</v>
      </c>
      <c r="CU1570" s="250">
        <f t="shared" si="9"/>
        <v>32342.291000000001</v>
      </c>
      <c r="CV1570" s="259">
        <f t="shared" si="9"/>
        <v>21145.399999999998</v>
      </c>
      <c r="CW1570" s="259">
        <f t="shared" si="9"/>
        <v>61194.8</v>
      </c>
      <c r="CX1570" s="260">
        <f t="shared" si="9"/>
        <v>0</v>
      </c>
      <c r="CY1570" s="187">
        <f>SUM(CY19:CY1567)</f>
        <v>9200</v>
      </c>
      <c r="CZ1570" s="187">
        <f t="shared" ref="CZ1570:DE1570" si="10">SUM(CZ9:CZ1567)</f>
        <v>24800.100000000002</v>
      </c>
      <c r="DA1570" s="187">
        <f t="shared" si="10"/>
        <v>1.1368683772161603E-13</v>
      </c>
      <c r="DB1570" s="187">
        <f t="shared" si="10"/>
        <v>-24109.649999999998</v>
      </c>
      <c r="DC1570" s="187">
        <f t="shared" si="10"/>
        <v>21100</v>
      </c>
      <c r="DD1570" s="187">
        <f t="shared" si="10"/>
        <v>0</v>
      </c>
      <c r="DE1570" s="187">
        <f t="shared" si="10"/>
        <v>0</v>
      </c>
      <c r="DF1570" s="187">
        <f>SUM(DF20:DF1567)</f>
        <v>4222.2999999999984</v>
      </c>
      <c r="DG1570" s="187">
        <f>SUM(DG20:DG1567)</f>
        <v>417028.4</v>
      </c>
      <c r="DH1570" s="187">
        <f t="shared" ref="DH1570:DM1570" si="11">SUM(DH9:DH1567)</f>
        <v>706.69999999999982</v>
      </c>
      <c r="DI1570" s="187">
        <f t="shared" si="11"/>
        <v>28163.599999999999</v>
      </c>
      <c r="DJ1570" s="187">
        <f t="shared" si="11"/>
        <v>0</v>
      </c>
      <c r="DK1570" s="260">
        <f t="shared" si="11"/>
        <v>920.5</v>
      </c>
      <c r="DL1570" s="260">
        <f t="shared" si="11"/>
        <v>169.99999999999983</v>
      </c>
      <c r="DM1570" s="260">
        <f t="shared" si="11"/>
        <v>1.8873791418627661E-15</v>
      </c>
      <c r="DN1570" s="260">
        <f>SUM(DN9:DN1567)</f>
        <v>8322.483000000002</v>
      </c>
    </row>
    <row r="1571" spans="1:118" x14ac:dyDescent="0.3">
      <c r="E1571" s="4"/>
      <c r="F1571" s="3"/>
      <c r="G1571" s="143"/>
      <c r="H1571" s="134"/>
      <c r="I1571" s="135"/>
      <c r="J1571" s="134"/>
      <c r="CS1571" s="255">
        <f>1104947.7-CQ1570-CR1570-CS1570</f>
        <v>1051.0000000000582</v>
      </c>
    </row>
    <row r="1572" spans="1:118" x14ac:dyDescent="0.3">
      <c r="E1572" s="4"/>
      <c r="F1572" s="3"/>
      <c r="G1572" s="143"/>
      <c r="H1572" s="134"/>
      <c r="I1572" s="135"/>
      <c r="J1572" s="134"/>
    </row>
    <row r="1573" spans="1:118" x14ac:dyDescent="0.3">
      <c r="E1573" s="4"/>
      <c r="F1573" s="3"/>
      <c r="G1573" s="143"/>
      <c r="H1573" s="134"/>
      <c r="I1573" s="135"/>
      <c r="J1573" s="134"/>
    </row>
    <row r="1574" spans="1:118" x14ac:dyDescent="0.3">
      <c r="E1574" s="4"/>
      <c r="F1574" s="3"/>
      <c r="G1574" s="143"/>
      <c r="H1574" s="134"/>
      <c r="I1574" s="135"/>
      <c r="J1574" s="134"/>
    </row>
    <row r="1575" spans="1:118" x14ac:dyDescent="0.3">
      <c r="E1575" s="4"/>
      <c r="F1575" s="3"/>
      <c r="G1575" s="143"/>
      <c r="H1575" s="134"/>
      <c r="I1575" s="135"/>
      <c r="J1575" s="134"/>
    </row>
    <row r="1576" spans="1:118" x14ac:dyDescent="0.3">
      <c r="E1576" s="4"/>
      <c r="F1576" s="3"/>
      <c r="G1576" s="143"/>
      <c r="H1576" s="134"/>
      <c r="I1576" s="135"/>
      <c r="J1576" s="134"/>
    </row>
    <row r="1577" spans="1:118" x14ac:dyDescent="0.3">
      <c r="E1577" s="4"/>
      <c r="F1577" s="3"/>
      <c r="G1577" s="143"/>
      <c r="H1577" s="134"/>
      <c r="I1577" s="135"/>
      <c r="J1577" s="134"/>
    </row>
    <row r="1578" spans="1:118" x14ac:dyDescent="0.3">
      <c r="E1578" s="4"/>
      <c r="F1578" s="3"/>
      <c r="G1578" s="143"/>
      <c r="H1578" s="134"/>
      <c r="I1578" s="135"/>
      <c r="J1578" s="134"/>
    </row>
    <row r="1579" spans="1:118" x14ac:dyDescent="0.3">
      <c r="E1579" s="4"/>
      <c r="F1579" s="3"/>
      <c r="G1579" s="143"/>
      <c r="H1579" s="134"/>
      <c r="I1579" s="135"/>
      <c r="J1579" s="134"/>
    </row>
    <row r="1580" spans="1:118" x14ac:dyDescent="0.3">
      <c r="E1580" s="4"/>
      <c r="F1580" s="3"/>
      <c r="G1580" s="143"/>
      <c r="H1580" s="134"/>
      <c r="I1580" s="135"/>
      <c r="J1580" s="134"/>
    </row>
    <row r="1581" spans="1:118" x14ac:dyDescent="0.3">
      <c r="E1581" s="4"/>
      <c r="F1581" s="3"/>
      <c r="G1581" s="143"/>
      <c r="H1581" s="134"/>
      <c r="I1581" s="135"/>
      <c r="J1581" s="134"/>
    </row>
    <row r="1582" spans="1:118" x14ac:dyDescent="0.3">
      <c r="E1582" s="4"/>
      <c r="F1582" s="3"/>
      <c r="G1582" s="143"/>
      <c r="H1582" s="134"/>
      <c r="I1582" s="135"/>
      <c r="J1582" s="134"/>
    </row>
    <row r="1583" spans="1:118" x14ac:dyDescent="0.3">
      <c r="E1583" s="4"/>
      <c r="F1583" s="3"/>
      <c r="G1583" s="143"/>
      <c r="H1583" s="134"/>
      <c r="I1583" s="135"/>
      <c r="J1583" s="134"/>
    </row>
    <row r="1584" spans="1:118" x14ac:dyDescent="0.3">
      <c r="E1584" s="4"/>
      <c r="F1584" s="3"/>
      <c r="G1584" s="143"/>
      <c r="H1584" s="134"/>
      <c r="I1584" s="135"/>
      <c r="J1584" s="134"/>
    </row>
    <row r="1585" spans="5:10" x14ac:dyDescent="0.3">
      <c r="E1585" s="4"/>
      <c r="F1585" s="3"/>
      <c r="G1585" s="143"/>
      <c r="H1585" s="134"/>
      <c r="I1585" s="135"/>
      <c r="J1585" s="134"/>
    </row>
    <row r="1586" spans="5:10" x14ac:dyDescent="0.3">
      <c r="E1586" s="4"/>
      <c r="F1586" s="3"/>
      <c r="G1586" s="143"/>
      <c r="H1586" s="134"/>
      <c r="I1586" s="135"/>
      <c r="J1586" s="134"/>
    </row>
    <row r="1587" spans="5:10" x14ac:dyDescent="0.3">
      <c r="E1587" s="4"/>
      <c r="F1587" s="3"/>
      <c r="G1587" s="143"/>
      <c r="H1587" s="134"/>
      <c r="I1587" s="135"/>
      <c r="J1587" s="134"/>
    </row>
    <row r="1588" spans="5:10" x14ac:dyDescent="0.3">
      <c r="E1588" s="4"/>
      <c r="F1588" s="3"/>
      <c r="G1588" s="143"/>
      <c r="H1588" s="134"/>
      <c r="I1588" s="135"/>
      <c r="J1588" s="134"/>
    </row>
    <row r="1589" spans="5:10" x14ac:dyDescent="0.3">
      <c r="E1589" s="4"/>
      <c r="F1589" s="3"/>
      <c r="G1589" s="143"/>
      <c r="H1589" s="134"/>
      <c r="I1589" s="135"/>
      <c r="J1589" s="134"/>
    </row>
    <row r="1590" spans="5:10" x14ac:dyDescent="0.3">
      <c r="E1590" s="4"/>
      <c r="F1590" s="3"/>
      <c r="G1590" s="143"/>
      <c r="H1590" s="134"/>
      <c r="I1590" s="135"/>
      <c r="J1590" s="134"/>
    </row>
    <row r="1591" spans="5:10" x14ac:dyDescent="0.3">
      <c r="E1591" s="4"/>
      <c r="F1591" s="3"/>
      <c r="G1591" s="143"/>
      <c r="H1591" s="134"/>
      <c r="I1591" s="135"/>
      <c r="J1591" s="134"/>
    </row>
    <row r="1592" spans="5:10" x14ac:dyDescent="0.3">
      <c r="E1592" s="4"/>
      <c r="F1592" s="3"/>
      <c r="G1592" s="143"/>
      <c r="H1592" s="134"/>
      <c r="I1592" s="135"/>
      <c r="J1592" s="134"/>
    </row>
    <row r="1593" spans="5:10" x14ac:dyDescent="0.3">
      <c r="E1593" s="4"/>
      <c r="F1593" s="3"/>
      <c r="G1593" s="143"/>
      <c r="H1593" s="134"/>
      <c r="I1593" s="135"/>
      <c r="J1593" s="134"/>
    </row>
    <row r="1594" spans="5:10" x14ac:dyDescent="0.3">
      <c r="E1594" s="4"/>
      <c r="F1594" s="3"/>
      <c r="G1594" s="143"/>
      <c r="H1594" s="134"/>
      <c r="I1594" s="135"/>
      <c r="J1594" s="134"/>
    </row>
    <row r="1595" spans="5:10" x14ac:dyDescent="0.3">
      <c r="E1595" s="4"/>
      <c r="F1595" s="3"/>
      <c r="G1595" s="143"/>
      <c r="H1595" s="134"/>
      <c r="I1595" s="135"/>
      <c r="J1595" s="134"/>
    </row>
    <row r="1596" spans="5:10" x14ac:dyDescent="0.3">
      <c r="E1596" s="4"/>
      <c r="F1596" s="3"/>
      <c r="G1596" s="143"/>
      <c r="H1596" s="134"/>
      <c r="I1596" s="135"/>
      <c r="J1596" s="134"/>
    </row>
    <row r="1597" spans="5:10" x14ac:dyDescent="0.3">
      <c r="E1597" s="4"/>
      <c r="F1597" s="3"/>
      <c r="G1597" s="143"/>
      <c r="H1597" s="134"/>
      <c r="I1597" s="135"/>
      <c r="J1597" s="134"/>
    </row>
    <row r="1598" spans="5:10" x14ac:dyDescent="0.3">
      <c r="E1598" s="4"/>
      <c r="F1598" s="3"/>
      <c r="G1598" s="143"/>
      <c r="H1598" s="134"/>
      <c r="I1598" s="135"/>
      <c r="J1598" s="134"/>
    </row>
    <row r="1599" spans="5:10" x14ac:dyDescent="0.3">
      <c r="E1599" s="4"/>
      <c r="F1599" s="3"/>
      <c r="G1599" s="143"/>
      <c r="H1599" s="134"/>
      <c r="I1599" s="135"/>
      <c r="J1599" s="134"/>
    </row>
    <row r="1600" spans="5:10" x14ac:dyDescent="0.3">
      <c r="E1600" s="4"/>
      <c r="F1600" s="3"/>
      <c r="G1600" s="143"/>
      <c r="H1600" s="134"/>
      <c r="I1600" s="135"/>
      <c r="J1600" s="134"/>
    </row>
    <row r="1601" spans="5:10" x14ac:dyDescent="0.3">
      <c r="E1601" s="4"/>
      <c r="F1601" s="3"/>
      <c r="G1601" s="143"/>
      <c r="H1601" s="134"/>
      <c r="I1601" s="135"/>
      <c r="J1601" s="134"/>
    </row>
    <row r="1602" spans="5:10" x14ac:dyDescent="0.3">
      <c r="E1602" s="4"/>
      <c r="F1602" s="3"/>
      <c r="G1602" s="143"/>
      <c r="H1602" s="134"/>
      <c r="I1602" s="135"/>
      <c r="J1602" s="134"/>
    </row>
    <row r="1603" spans="5:10" x14ac:dyDescent="0.3">
      <c r="E1603" s="4"/>
      <c r="F1603" s="3"/>
      <c r="G1603" s="143"/>
      <c r="H1603" s="134"/>
      <c r="I1603" s="135"/>
      <c r="J1603" s="134"/>
    </row>
    <row r="1604" spans="5:10" x14ac:dyDescent="0.3">
      <c r="E1604" s="4"/>
      <c r="F1604" s="3"/>
      <c r="G1604" s="143"/>
      <c r="H1604" s="134"/>
      <c r="I1604" s="135"/>
      <c r="J1604" s="134"/>
    </row>
    <row r="1605" spans="5:10" x14ac:dyDescent="0.3">
      <c r="E1605" s="4"/>
      <c r="F1605" s="3"/>
      <c r="G1605" s="143"/>
      <c r="H1605" s="134"/>
      <c r="I1605" s="135"/>
      <c r="J1605" s="134"/>
    </row>
    <row r="1606" spans="5:10" x14ac:dyDescent="0.3">
      <c r="E1606" s="4"/>
      <c r="F1606" s="3"/>
      <c r="G1606" s="143"/>
      <c r="H1606" s="134"/>
      <c r="I1606" s="135"/>
      <c r="J1606" s="134"/>
    </row>
    <row r="1607" spans="5:10" x14ac:dyDescent="0.3">
      <c r="E1607" s="4"/>
      <c r="F1607" s="3"/>
      <c r="G1607" s="143"/>
      <c r="H1607" s="134"/>
      <c r="I1607" s="135"/>
      <c r="J1607" s="134"/>
    </row>
    <row r="1608" spans="5:10" x14ac:dyDescent="0.3">
      <c r="E1608" s="4"/>
      <c r="F1608" s="3"/>
      <c r="G1608" s="143"/>
      <c r="H1608" s="134"/>
      <c r="I1608" s="135"/>
      <c r="J1608" s="134"/>
    </row>
    <row r="1609" spans="5:10" x14ac:dyDescent="0.3">
      <c r="E1609" s="4"/>
      <c r="F1609" s="3"/>
      <c r="G1609" s="143"/>
      <c r="H1609" s="134"/>
      <c r="I1609" s="135"/>
      <c r="J1609" s="134"/>
    </row>
    <row r="1610" spans="5:10" x14ac:dyDescent="0.3">
      <c r="E1610" s="4"/>
      <c r="F1610" s="3"/>
      <c r="G1610" s="143"/>
      <c r="H1610" s="134"/>
      <c r="I1610" s="135"/>
      <c r="J1610" s="134"/>
    </row>
    <row r="1611" spans="5:10" x14ac:dyDescent="0.3">
      <c r="E1611" s="4"/>
      <c r="F1611" s="3"/>
      <c r="G1611" s="143"/>
      <c r="H1611" s="134"/>
      <c r="I1611" s="135"/>
      <c r="J1611" s="134"/>
    </row>
    <row r="1612" spans="5:10" x14ac:dyDescent="0.3">
      <c r="E1612" s="4"/>
      <c r="F1612" s="3"/>
      <c r="G1612" s="143"/>
      <c r="H1612" s="134"/>
      <c r="I1612" s="135"/>
      <c r="J1612" s="134"/>
    </row>
    <row r="1613" spans="5:10" x14ac:dyDescent="0.3">
      <c r="E1613" s="4"/>
      <c r="F1613" s="3"/>
      <c r="G1613" s="143"/>
      <c r="H1613" s="134"/>
      <c r="I1613" s="135"/>
      <c r="J1613" s="134"/>
    </row>
    <row r="1614" spans="5:10" x14ac:dyDescent="0.3">
      <c r="E1614" s="4"/>
      <c r="F1614" s="3"/>
      <c r="G1614" s="143"/>
      <c r="H1614" s="134"/>
      <c r="I1614" s="135"/>
      <c r="J1614" s="134"/>
    </row>
    <row r="1615" spans="5:10" x14ac:dyDescent="0.3">
      <c r="E1615" s="4"/>
      <c r="F1615" s="3"/>
      <c r="G1615" s="143"/>
      <c r="H1615" s="134"/>
      <c r="I1615" s="135"/>
      <c r="J1615" s="134"/>
    </row>
    <row r="1616" spans="5:10" x14ac:dyDescent="0.3">
      <c r="E1616" s="4"/>
      <c r="F1616" s="3"/>
      <c r="G1616" s="143"/>
      <c r="H1616" s="134"/>
      <c r="I1616" s="135"/>
      <c r="J1616" s="134"/>
    </row>
    <row r="1617" spans="5:10" x14ac:dyDescent="0.3">
      <c r="E1617" s="4"/>
      <c r="F1617" s="3"/>
      <c r="G1617" s="143"/>
      <c r="H1617" s="134"/>
      <c r="I1617" s="135"/>
      <c r="J1617" s="134"/>
    </row>
    <row r="1618" spans="5:10" x14ac:dyDescent="0.3">
      <c r="E1618" s="4"/>
      <c r="F1618" s="3"/>
      <c r="G1618" s="143"/>
      <c r="H1618" s="134"/>
      <c r="I1618" s="135"/>
      <c r="J1618" s="134"/>
    </row>
    <row r="1619" spans="5:10" x14ac:dyDescent="0.3">
      <c r="E1619" s="4"/>
      <c r="F1619" s="3"/>
      <c r="G1619" s="143"/>
      <c r="H1619" s="134"/>
      <c r="I1619" s="135"/>
      <c r="J1619" s="134"/>
    </row>
    <row r="1620" spans="5:10" x14ac:dyDescent="0.3">
      <c r="E1620" s="4"/>
      <c r="F1620" s="3"/>
      <c r="G1620" s="143"/>
      <c r="H1620" s="134"/>
      <c r="I1620" s="135"/>
      <c r="J1620" s="134"/>
    </row>
    <row r="1621" spans="5:10" x14ac:dyDescent="0.3">
      <c r="E1621" s="4"/>
      <c r="F1621" s="3"/>
      <c r="G1621" s="143"/>
      <c r="H1621" s="134"/>
      <c r="I1621" s="135"/>
      <c r="J1621" s="134"/>
    </row>
    <row r="1622" spans="5:10" x14ac:dyDescent="0.3">
      <c r="E1622" s="4"/>
      <c r="F1622" s="3"/>
      <c r="G1622" s="143"/>
      <c r="H1622" s="134"/>
      <c r="I1622" s="135"/>
      <c r="J1622" s="134"/>
    </row>
    <row r="1623" spans="5:10" x14ac:dyDescent="0.3">
      <c r="E1623" s="4"/>
      <c r="F1623" s="3"/>
      <c r="G1623" s="143"/>
      <c r="H1623" s="134"/>
      <c r="I1623" s="135"/>
      <c r="J1623" s="134"/>
    </row>
    <row r="1624" spans="5:10" x14ac:dyDescent="0.3">
      <c r="E1624" s="4"/>
      <c r="F1624" s="3"/>
      <c r="G1624" s="143"/>
      <c r="H1624" s="134"/>
      <c r="I1624" s="135"/>
      <c r="J1624" s="134"/>
    </row>
    <row r="1625" spans="5:10" x14ac:dyDescent="0.3">
      <c r="E1625" s="4"/>
      <c r="F1625" s="3"/>
      <c r="G1625" s="143"/>
      <c r="H1625" s="134"/>
      <c r="I1625" s="135"/>
      <c r="J1625" s="134"/>
    </row>
    <row r="1626" spans="5:10" x14ac:dyDescent="0.3">
      <c r="E1626" s="4"/>
      <c r="F1626" s="3"/>
      <c r="G1626" s="143"/>
      <c r="H1626" s="134"/>
      <c r="I1626" s="135"/>
      <c r="J1626" s="134"/>
    </row>
    <row r="1627" spans="5:10" x14ac:dyDescent="0.3">
      <c r="E1627" s="4"/>
      <c r="F1627" s="3"/>
      <c r="G1627" s="143"/>
      <c r="H1627" s="134"/>
      <c r="I1627" s="135"/>
      <c r="J1627" s="134"/>
    </row>
    <row r="1628" spans="5:10" x14ac:dyDescent="0.3">
      <c r="E1628" s="4"/>
      <c r="F1628" s="3"/>
      <c r="G1628" s="143"/>
      <c r="H1628" s="134"/>
      <c r="I1628" s="135"/>
      <c r="J1628" s="134"/>
    </row>
    <row r="1629" spans="5:10" x14ac:dyDescent="0.3">
      <c r="E1629" s="4"/>
      <c r="F1629" s="3"/>
      <c r="G1629" s="143"/>
      <c r="H1629" s="134"/>
      <c r="I1629" s="135"/>
      <c r="J1629" s="134"/>
    </row>
    <row r="1630" spans="5:10" x14ac:dyDescent="0.3">
      <c r="E1630" s="4"/>
      <c r="F1630" s="3"/>
      <c r="G1630" s="143"/>
      <c r="H1630" s="134"/>
      <c r="I1630" s="135"/>
      <c r="J1630" s="134"/>
    </row>
    <row r="1631" spans="5:10" x14ac:dyDescent="0.3">
      <c r="E1631" s="4"/>
      <c r="F1631" s="3"/>
      <c r="G1631" s="143"/>
      <c r="H1631" s="134"/>
      <c r="I1631" s="135"/>
      <c r="J1631" s="134"/>
    </row>
    <row r="1632" spans="5:10" x14ac:dyDescent="0.3">
      <c r="E1632" s="4"/>
      <c r="F1632" s="3"/>
      <c r="G1632" s="143"/>
      <c r="H1632" s="134"/>
      <c r="I1632" s="135"/>
      <c r="J1632" s="134"/>
    </row>
    <row r="1633" spans="5:10" x14ac:dyDescent="0.3">
      <c r="E1633" s="4"/>
      <c r="F1633" s="3"/>
      <c r="G1633" s="143"/>
      <c r="H1633" s="134"/>
      <c r="I1633" s="135"/>
      <c r="J1633" s="134"/>
    </row>
    <row r="1634" spans="5:10" x14ac:dyDescent="0.3">
      <c r="E1634" s="4"/>
      <c r="F1634" s="3"/>
      <c r="G1634" s="143"/>
      <c r="H1634" s="134"/>
      <c r="I1634" s="135"/>
      <c r="J1634" s="134"/>
    </row>
    <row r="1635" spans="5:10" x14ac:dyDescent="0.3">
      <c r="E1635" s="4"/>
      <c r="F1635" s="3"/>
      <c r="G1635" s="143"/>
      <c r="H1635" s="134"/>
      <c r="I1635" s="135"/>
      <c r="J1635" s="134"/>
    </row>
    <row r="1636" spans="5:10" x14ac:dyDescent="0.3">
      <c r="E1636" s="4"/>
      <c r="F1636" s="3"/>
      <c r="G1636" s="143"/>
      <c r="H1636" s="134"/>
      <c r="I1636" s="135"/>
      <c r="J1636" s="134"/>
    </row>
    <row r="1637" spans="5:10" x14ac:dyDescent="0.3">
      <c r="E1637" s="4"/>
      <c r="F1637" s="3"/>
      <c r="G1637" s="143"/>
      <c r="H1637" s="134"/>
      <c r="I1637" s="135"/>
      <c r="J1637" s="134"/>
    </row>
    <row r="1638" spans="5:10" x14ac:dyDescent="0.3">
      <c r="E1638" s="4"/>
      <c r="F1638" s="3"/>
      <c r="G1638" s="143"/>
      <c r="H1638" s="134"/>
      <c r="I1638" s="135"/>
      <c r="J1638" s="134"/>
    </row>
    <row r="1639" spans="5:10" x14ac:dyDescent="0.3">
      <c r="E1639" s="4"/>
      <c r="F1639" s="3"/>
      <c r="G1639" s="143"/>
      <c r="H1639" s="134"/>
      <c r="I1639" s="135"/>
      <c r="J1639" s="134"/>
    </row>
    <row r="1640" spans="5:10" x14ac:dyDescent="0.3">
      <c r="E1640" s="4"/>
      <c r="F1640" s="3"/>
      <c r="G1640" s="143"/>
      <c r="H1640" s="134"/>
      <c r="I1640" s="135"/>
      <c r="J1640" s="134"/>
    </row>
    <row r="1641" spans="5:10" x14ac:dyDescent="0.3">
      <c r="E1641" s="4"/>
      <c r="F1641" s="3"/>
      <c r="G1641" s="143"/>
      <c r="H1641" s="134"/>
      <c r="I1641" s="135"/>
      <c r="J1641" s="134"/>
    </row>
    <row r="1642" spans="5:10" x14ac:dyDescent="0.3">
      <c r="E1642" s="4"/>
      <c r="F1642" s="3"/>
      <c r="G1642" s="143"/>
      <c r="H1642" s="134"/>
      <c r="I1642" s="135"/>
      <c r="J1642" s="134"/>
    </row>
    <row r="1643" spans="5:10" x14ac:dyDescent="0.3">
      <c r="E1643" s="4"/>
      <c r="F1643" s="3"/>
      <c r="G1643" s="143"/>
      <c r="H1643" s="134"/>
      <c r="I1643" s="135"/>
      <c r="J1643" s="134"/>
    </row>
    <row r="1644" spans="5:10" x14ac:dyDescent="0.3">
      <c r="E1644" s="4"/>
      <c r="F1644" s="3"/>
      <c r="G1644" s="143"/>
      <c r="H1644" s="134"/>
      <c r="I1644" s="135"/>
      <c r="J1644" s="134"/>
    </row>
    <row r="1645" spans="5:10" x14ac:dyDescent="0.3">
      <c r="E1645" s="4"/>
      <c r="F1645" s="3"/>
      <c r="G1645" s="143"/>
      <c r="H1645" s="134"/>
      <c r="I1645" s="135"/>
      <c r="J1645" s="134"/>
    </row>
    <row r="1646" spans="5:10" x14ac:dyDescent="0.3">
      <c r="E1646" s="4"/>
      <c r="F1646" s="3"/>
      <c r="G1646" s="143"/>
      <c r="H1646" s="134"/>
      <c r="I1646" s="135"/>
      <c r="J1646" s="134"/>
    </row>
    <row r="1647" spans="5:10" x14ac:dyDescent="0.3">
      <c r="E1647" s="4"/>
      <c r="F1647" s="3"/>
      <c r="G1647" s="143"/>
      <c r="H1647" s="134"/>
      <c r="I1647" s="135"/>
      <c r="J1647" s="134"/>
    </row>
    <row r="1648" spans="5:10" x14ac:dyDescent="0.3">
      <c r="E1648" s="4"/>
      <c r="F1648" s="3"/>
      <c r="G1648" s="143"/>
      <c r="H1648" s="134"/>
      <c r="I1648" s="135"/>
      <c r="J1648" s="134"/>
    </row>
    <row r="1649" spans="5:10" x14ac:dyDescent="0.3">
      <c r="E1649" s="4"/>
      <c r="F1649" s="3"/>
      <c r="G1649" s="143"/>
      <c r="H1649" s="134"/>
      <c r="I1649" s="135"/>
      <c r="J1649" s="134"/>
    </row>
    <row r="1650" spans="5:10" x14ac:dyDescent="0.3">
      <c r="E1650" s="4"/>
      <c r="F1650" s="3"/>
      <c r="G1650" s="143"/>
      <c r="H1650" s="134"/>
      <c r="I1650" s="135"/>
      <c r="J1650" s="134"/>
    </row>
    <row r="1651" spans="5:10" x14ac:dyDescent="0.3">
      <c r="E1651" s="4"/>
      <c r="F1651" s="3"/>
      <c r="G1651" s="143"/>
      <c r="H1651" s="134"/>
      <c r="I1651" s="135"/>
      <c r="J1651" s="134"/>
    </row>
    <row r="1652" spans="5:10" x14ac:dyDescent="0.3">
      <c r="E1652" s="4"/>
      <c r="F1652" s="3"/>
      <c r="G1652" s="143"/>
      <c r="H1652" s="134"/>
      <c r="I1652" s="135"/>
      <c r="J1652" s="134"/>
    </row>
    <row r="1653" spans="5:10" x14ac:dyDescent="0.3">
      <c r="E1653" s="4"/>
      <c r="F1653" s="3"/>
      <c r="G1653" s="143"/>
      <c r="H1653" s="134"/>
      <c r="I1653" s="135"/>
      <c r="J1653" s="134"/>
    </row>
    <row r="1654" spans="5:10" x14ac:dyDescent="0.3">
      <c r="E1654" s="4"/>
      <c r="F1654" s="3"/>
      <c r="G1654" s="143"/>
      <c r="H1654" s="134"/>
      <c r="I1654" s="135"/>
      <c r="J1654" s="134"/>
    </row>
    <row r="1655" spans="5:10" x14ac:dyDescent="0.3">
      <c r="E1655" s="4"/>
      <c r="F1655" s="3"/>
      <c r="G1655" s="143"/>
      <c r="H1655" s="134"/>
      <c r="I1655" s="135"/>
      <c r="J1655" s="134"/>
    </row>
    <row r="1656" spans="5:10" x14ac:dyDescent="0.3">
      <c r="E1656" s="4"/>
      <c r="F1656" s="3"/>
      <c r="G1656" s="143"/>
      <c r="H1656" s="134"/>
      <c r="I1656" s="135"/>
      <c r="J1656" s="134"/>
    </row>
    <row r="1657" spans="5:10" x14ac:dyDescent="0.3">
      <c r="E1657" s="4"/>
      <c r="F1657" s="3"/>
      <c r="G1657" s="143"/>
      <c r="H1657" s="134"/>
      <c r="I1657" s="135"/>
      <c r="J1657" s="134"/>
    </row>
    <row r="1658" spans="5:10" x14ac:dyDescent="0.3">
      <c r="E1658" s="4"/>
      <c r="F1658" s="3"/>
      <c r="G1658" s="143"/>
      <c r="H1658" s="134"/>
      <c r="I1658" s="135"/>
      <c r="J1658" s="134"/>
    </row>
    <row r="1659" spans="5:10" x14ac:dyDescent="0.3">
      <c r="E1659" s="4"/>
      <c r="F1659" s="3"/>
      <c r="G1659" s="143"/>
      <c r="H1659" s="134"/>
      <c r="I1659" s="135"/>
      <c r="J1659" s="134"/>
    </row>
    <row r="1660" spans="5:10" x14ac:dyDescent="0.3">
      <c r="E1660" s="3"/>
      <c r="F1660" s="3"/>
      <c r="G1660" s="143"/>
      <c r="H1660" s="134"/>
      <c r="I1660" s="135"/>
      <c r="J1660" s="134"/>
    </row>
    <row r="1661" spans="5:10" x14ac:dyDescent="0.3">
      <c r="E1661" s="3"/>
      <c r="F1661" s="3"/>
      <c r="G1661" s="143"/>
      <c r="H1661" s="134"/>
      <c r="I1661" s="135"/>
      <c r="J1661" s="134"/>
    </row>
    <row r="1662" spans="5:10" x14ac:dyDescent="0.3">
      <c r="E1662" s="3"/>
      <c r="F1662" s="3"/>
      <c r="G1662" s="143"/>
      <c r="H1662" s="134"/>
      <c r="I1662" s="135"/>
      <c r="J1662" s="134"/>
    </row>
    <row r="1663" spans="5:10" x14ac:dyDescent="0.3">
      <c r="E1663" s="3"/>
      <c r="F1663" s="3"/>
      <c r="G1663" s="143"/>
      <c r="H1663" s="134"/>
      <c r="I1663" s="135"/>
      <c r="J1663" s="134"/>
    </row>
    <row r="1664" spans="5:10" x14ac:dyDescent="0.3">
      <c r="E1664" s="3"/>
      <c r="F1664" s="3"/>
      <c r="G1664" s="143"/>
      <c r="H1664" s="134"/>
      <c r="I1664" s="135"/>
      <c r="J1664" s="134"/>
    </row>
    <row r="1665" spans="5:10" x14ac:dyDescent="0.3">
      <c r="E1665" s="3"/>
      <c r="F1665" s="3"/>
      <c r="G1665" s="143"/>
      <c r="H1665" s="134"/>
      <c r="I1665" s="135"/>
      <c r="J1665" s="134"/>
    </row>
    <row r="1666" spans="5:10" x14ac:dyDescent="0.3">
      <c r="E1666" s="3"/>
      <c r="F1666" s="3"/>
      <c r="G1666" s="143"/>
      <c r="H1666" s="134"/>
      <c r="I1666" s="135"/>
      <c r="J1666" s="134"/>
    </row>
    <row r="1667" spans="5:10" x14ac:dyDescent="0.3">
      <c r="E1667" s="3"/>
      <c r="F1667" s="3"/>
      <c r="G1667" s="143"/>
      <c r="H1667" s="134"/>
      <c r="I1667" s="135"/>
      <c r="J1667" s="134"/>
    </row>
    <row r="1668" spans="5:10" x14ac:dyDescent="0.3">
      <c r="E1668" s="3"/>
      <c r="F1668" s="3"/>
      <c r="G1668" s="143"/>
      <c r="H1668" s="134"/>
      <c r="I1668" s="135"/>
      <c r="J1668" s="134"/>
    </row>
    <row r="1669" spans="5:10" x14ac:dyDescent="0.3">
      <c r="E1669" s="3"/>
      <c r="F1669" s="3"/>
      <c r="G1669" s="143"/>
      <c r="H1669" s="134"/>
      <c r="I1669" s="135"/>
      <c r="J1669" s="134"/>
    </row>
    <row r="1670" spans="5:10" x14ac:dyDescent="0.3">
      <c r="E1670" s="3"/>
      <c r="F1670" s="3"/>
      <c r="G1670" s="143"/>
      <c r="H1670" s="134"/>
      <c r="I1670" s="135"/>
      <c r="J1670" s="134"/>
    </row>
    <row r="1671" spans="5:10" x14ac:dyDescent="0.3">
      <c r="E1671" s="3"/>
      <c r="F1671" s="3"/>
      <c r="G1671" s="143"/>
      <c r="H1671" s="134"/>
      <c r="I1671" s="135"/>
      <c r="J1671" s="134"/>
    </row>
    <row r="1672" spans="5:10" x14ac:dyDescent="0.3">
      <c r="E1672" s="3"/>
      <c r="F1672" s="3"/>
      <c r="G1672" s="143"/>
      <c r="H1672" s="134"/>
      <c r="I1672" s="135"/>
      <c r="J1672" s="134"/>
    </row>
    <row r="1673" spans="5:10" x14ac:dyDescent="0.3">
      <c r="E1673" s="3"/>
      <c r="F1673" s="3"/>
      <c r="G1673" s="143"/>
      <c r="H1673" s="134"/>
      <c r="I1673" s="135"/>
      <c r="J1673" s="134"/>
    </row>
    <row r="1674" spans="5:10" x14ac:dyDescent="0.3">
      <c r="E1674" s="3"/>
      <c r="F1674" s="3"/>
      <c r="G1674" s="143"/>
      <c r="H1674" s="134"/>
      <c r="I1674" s="135"/>
      <c r="J1674" s="134"/>
    </row>
    <row r="1675" spans="5:10" x14ac:dyDescent="0.3">
      <c r="E1675" s="3"/>
      <c r="F1675" s="3"/>
      <c r="G1675" s="143"/>
      <c r="H1675" s="134"/>
      <c r="I1675" s="135"/>
      <c r="J1675" s="134"/>
    </row>
    <row r="1676" spans="5:10" x14ac:dyDescent="0.3">
      <c r="E1676" s="3"/>
      <c r="F1676" s="3"/>
      <c r="G1676" s="143"/>
      <c r="H1676" s="134"/>
      <c r="I1676" s="135"/>
      <c r="J1676" s="134"/>
    </row>
    <row r="1677" spans="5:10" x14ac:dyDescent="0.3">
      <c r="E1677" s="3"/>
      <c r="F1677" s="3"/>
      <c r="G1677" s="143"/>
      <c r="H1677" s="134"/>
      <c r="I1677" s="135"/>
      <c r="J1677" s="134"/>
    </row>
    <row r="1678" spans="5:10" x14ac:dyDescent="0.3">
      <c r="E1678" s="3"/>
      <c r="F1678" s="3"/>
      <c r="G1678" s="143"/>
      <c r="H1678" s="134"/>
      <c r="I1678" s="135"/>
      <c r="J1678" s="134"/>
    </row>
    <row r="1679" spans="5:10" x14ac:dyDescent="0.3">
      <c r="E1679" s="3"/>
      <c r="F1679" s="3"/>
      <c r="G1679" s="143"/>
      <c r="H1679" s="134"/>
      <c r="I1679" s="135"/>
      <c r="J1679" s="134"/>
    </row>
    <row r="1680" spans="5:10" x14ac:dyDescent="0.3">
      <c r="E1680" s="3"/>
      <c r="F1680" s="3"/>
      <c r="G1680" s="143"/>
      <c r="H1680" s="134"/>
      <c r="I1680" s="135"/>
      <c r="J1680" s="134"/>
    </row>
    <row r="1681" spans="5:10" x14ac:dyDescent="0.3">
      <c r="E1681" s="3"/>
      <c r="F1681" s="3"/>
      <c r="G1681" s="143"/>
      <c r="H1681" s="134"/>
      <c r="I1681" s="135"/>
      <c r="J1681" s="134"/>
    </row>
    <row r="1682" spans="5:10" x14ac:dyDescent="0.3">
      <c r="E1682" s="3"/>
      <c r="F1682" s="3"/>
      <c r="G1682" s="143"/>
      <c r="H1682" s="134"/>
      <c r="I1682" s="135"/>
      <c r="J1682" s="134"/>
    </row>
    <row r="1683" spans="5:10" x14ac:dyDescent="0.3">
      <c r="E1683" s="3"/>
      <c r="F1683" s="3"/>
      <c r="G1683" s="143"/>
      <c r="H1683" s="134"/>
      <c r="I1683" s="135"/>
      <c r="J1683" s="134"/>
    </row>
    <row r="1684" spans="5:10" x14ac:dyDescent="0.3">
      <c r="E1684" s="3"/>
      <c r="F1684" s="3"/>
      <c r="G1684" s="143"/>
      <c r="H1684" s="134"/>
      <c r="I1684" s="135"/>
      <c r="J1684" s="134"/>
    </row>
    <row r="1685" spans="5:10" x14ac:dyDescent="0.3">
      <c r="E1685" s="3"/>
      <c r="F1685" s="3"/>
      <c r="G1685" s="143"/>
      <c r="H1685" s="134"/>
      <c r="I1685" s="135"/>
      <c r="J1685" s="134"/>
    </row>
    <row r="1686" spans="5:10" x14ac:dyDescent="0.3">
      <c r="E1686" s="3"/>
      <c r="F1686" s="3"/>
      <c r="G1686" s="143"/>
      <c r="H1686" s="134"/>
      <c r="I1686" s="135"/>
      <c r="J1686" s="134"/>
    </row>
    <row r="1687" spans="5:10" x14ac:dyDescent="0.3">
      <c r="E1687" s="3"/>
      <c r="F1687" s="3"/>
      <c r="G1687" s="143"/>
      <c r="H1687" s="134"/>
      <c r="I1687" s="135"/>
      <c r="J1687" s="134"/>
    </row>
    <row r="1688" spans="5:10" x14ac:dyDescent="0.3">
      <c r="E1688" s="3"/>
      <c r="F1688" s="3"/>
      <c r="G1688" s="143"/>
      <c r="H1688" s="134"/>
      <c r="I1688" s="135"/>
      <c r="J1688" s="134"/>
    </row>
    <row r="1689" spans="5:10" x14ac:dyDescent="0.3">
      <c r="E1689" s="3"/>
      <c r="F1689" s="3"/>
      <c r="G1689" s="143"/>
      <c r="H1689" s="134"/>
      <c r="I1689" s="135"/>
      <c r="J1689" s="134"/>
    </row>
    <row r="1690" spans="5:10" x14ac:dyDescent="0.3">
      <c r="E1690" s="3"/>
      <c r="F1690" s="3"/>
      <c r="G1690" s="143"/>
      <c r="H1690" s="134"/>
      <c r="I1690" s="135"/>
      <c r="J1690" s="134"/>
    </row>
    <row r="1691" spans="5:10" x14ac:dyDescent="0.3">
      <c r="E1691" s="3"/>
      <c r="F1691" s="3"/>
      <c r="G1691" s="143"/>
      <c r="H1691" s="134"/>
      <c r="I1691" s="135"/>
      <c r="J1691" s="134"/>
    </row>
    <row r="1692" spans="5:10" x14ac:dyDescent="0.3">
      <c r="E1692" s="3"/>
      <c r="F1692" s="3"/>
      <c r="G1692" s="143"/>
      <c r="H1692" s="134"/>
      <c r="I1692" s="135"/>
      <c r="J1692" s="134"/>
    </row>
    <row r="1693" spans="5:10" x14ac:dyDescent="0.3">
      <c r="E1693" s="3"/>
      <c r="F1693" s="3"/>
      <c r="G1693" s="143"/>
      <c r="H1693" s="134"/>
      <c r="I1693" s="135"/>
      <c r="J1693" s="134"/>
    </row>
    <row r="1694" spans="5:10" x14ac:dyDescent="0.3">
      <c r="E1694" s="3"/>
      <c r="F1694" s="3"/>
      <c r="G1694" s="143"/>
      <c r="H1694" s="134"/>
      <c r="I1694" s="135"/>
      <c r="J1694" s="134"/>
    </row>
    <row r="1695" spans="5:10" x14ac:dyDescent="0.3">
      <c r="E1695" s="3"/>
      <c r="F1695" s="3"/>
      <c r="G1695" s="143"/>
      <c r="H1695" s="134"/>
      <c r="I1695" s="135"/>
      <c r="J1695" s="134"/>
    </row>
    <row r="1696" spans="5:10" x14ac:dyDescent="0.3">
      <c r="E1696" s="3"/>
      <c r="F1696" s="3"/>
      <c r="G1696" s="143"/>
      <c r="H1696" s="134"/>
      <c r="I1696" s="135"/>
      <c r="J1696" s="134"/>
    </row>
    <row r="1697" spans="5:10" x14ac:dyDescent="0.3">
      <c r="E1697" s="3"/>
      <c r="F1697" s="3"/>
      <c r="G1697" s="143"/>
      <c r="H1697" s="134"/>
      <c r="I1697" s="135"/>
      <c r="J1697" s="134"/>
    </row>
    <row r="1698" spans="5:10" x14ac:dyDescent="0.3">
      <c r="E1698" s="3"/>
      <c r="F1698" s="3"/>
      <c r="G1698" s="143"/>
      <c r="H1698" s="134"/>
      <c r="I1698" s="135"/>
      <c r="J1698" s="134"/>
    </row>
    <row r="1699" spans="5:10" x14ac:dyDescent="0.3">
      <c r="E1699" s="3"/>
      <c r="F1699" s="3"/>
      <c r="G1699" s="143"/>
      <c r="H1699" s="134"/>
      <c r="I1699" s="135"/>
      <c r="J1699" s="134"/>
    </row>
    <row r="1700" spans="5:10" x14ac:dyDescent="0.3">
      <c r="E1700" s="3"/>
      <c r="F1700" s="3"/>
      <c r="G1700" s="143"/>
      <c r="H1700" s="134"/>
      <c r="I1700" s="135"/>
      <c r="J1700" s="134"/>
    </row>
    <row r="1701" spans="5:10" x14ac:dyDescent="0.3">
      <c r="E1701" s="3"/>
      <c r="F1701" s="3"/>
      <c r="G1701" s="143"/>
      <c r="H1701" s="134"/>
      <c r="I1701" s="135"/>
      <c r="J1701" s="134"/>
    </row>
    <row r="1702" spans="5:10" x14ac:dyDescent="0.3">
      <c r="E1702" s="3"/>
      <c r="F1702" s="3"/>
      <c r="G1702" s="143"/>
      <c r="H1702" s="134"/>
      <c r="I1702" s="135"/>
      <c r="J1702" s="134"/>
    </row>
    <row r="1703" spans="5:10" x14ac:dyDescent="0.3">
      <c r="E1703" s="3"/>
      <c r="F1703" s="3"/>
      <c r="G1703" s="143"/>
      <c r="H1703" s="134"/>
      <c r="I1703" s="135"/>
      <c r="J1703" s="134"/>
    </row>
    <row r="1704" spans="5:10" x14ac:dyDescent="0.3">
      <c r="E1704" s="3"/>
      <c r="F1704" s="3"/>
      <c r="G1704" s="143"/>
      <c r="H1704" s="134"/>
      <c r="I1704" s="135"/>
      <c r="J1704" s="134"/>
    </row>
    <row r="1705" spans="5:10" x14ac:dyDescent="0.3">
      <c r="E1705" s="3"/>
      <c r="F1705" s="3"/>
      <c r="G1705" s="143"/>
      <c r="H1705" s="134"/>
      <c r="I1705" s="135"/>
      <c r="J1705" s="134"/>
    </row>
    <row r="1706" spans="5:10" x14ac:dyDescent="0.3">
      <c r="E1706" s="3"/>
      <c r="F1706" s="3"/>
      <c r="G1706" s="143"/>
      <c r="H1706" s="134"/>
      <c r="I1706" s="135"/>
      <c r="J1706" s="134"/>
    </row>
    <row r="1707" spans="5:10" x14ac:dyDescent="0.3">
      <c r="E1707" s="3"/>
      <c r="F1707" s="3"/>
      <c r="G1707" s="143"/>
      <c r="H1707" s="134"/>
      <c r="I1707" s="135"/>
      <c r="J1707" s="134"/>
    </row>
    <row r="1708" spans="5:10" x14ac:dyDescent="0.3">
      <c r="E1708" s="3"/>
      <c r="F1708" s="3"/>
      <c r="G1708" s="143"/>
      <c r="H1708" s="134"/>
      <c r="I1708" s="135"/>
      <c r="J1708" s="134"/>
    </row>
    <row r="1709" spans="5:10" x14ac:dyDescent="0.3">
      <c r="E1709" s="3"/>
      <c r="F1709" s="3"/>
      <c r="G1709" s="143"/>
      <c r="H1709" s="134"/>
      <c r="I1709" s="135"/>
      <c r="J1709" s="134"/>
    </row>
    <row r="1710" spans="5:10" x14ac:dyDescent="0.3">
      <c r="E1710" s="3"/>
      <c r="F1710" s="3"/>
      <c r="G1710" s="143"/>
      <c r="H1710" s="134"/>
      <c r="I1710" s="135"/>
      <c r="J1710" s="134"/>
    </row>
    <row r="1711" spans="5:10" x14ac:dyDescent="0.3">
      <c r="E1711" s="3"/>
      <c r="F1711" s="3"/>
      <c r="G1711" s="143"/>
      <c r="H1711" s="134"/>
      <c r="I1711" s="135"/>
      <c r="J1711" s="134"/>
    </row>
    <row r="1712" spans="5:10" x14ac:dyDescent="0.3">
      <c r="E1712" s="3"/>
      <c r="F1712" s="3"/>
      <c r="G1712" s="143"/>
      <c r="H1712" s="134"/>
      <c r="I1712" s="135"/>
      <c r="J1712" s="134"/>
    </row>
    <row r="1713" spans="5:10" x14ac:dyDescent="0.3">
      <c r="E1713" s="3"/>
      <c r="F1713" s="3"/>
      <c r="G1713" s="143"/>
      <c r="H1713" s="134"/>
      <c r="I1713" s="135"/>
      <c r="J1713" s="134"/>
    </row>
    <row r="1714" spans="5:10" x14ac:dyDescent="0.3">
      <c r="E1714" s="3"/>
      <c r="F1714" s="3"/>
      <c r="G1714" s="143"/>
      <c r="H1714" s="134"/>
      <c r="I1714" s="135"/>
      <c r="J1714" s="134"/>
    </row>
    <row r="1715" spans="5:10" x14ac:dyDescent="0.3">
      <c r="E1715" s="3"/>
      <c r="F1715" s="3"/>
      <c r="G1715" s="143"/>
      <c r="H1715" s="134"/>
      <c r="I1715" s="135"/>
      <c r="J1715" s="134"/>
    </row>
    <row r="1716" spans="5:10" x14ac:dyDescent="0.3">
      <c r="E1716" s="3"/>
      <c r="F1716" s="3"/>
      <c r="G1716" s="143"/>
      <c r="H1716" s="134"/>
      <c r="I1716" s="135"/>
      <c r="J1716" s="134"/>
    </row>
    <row r="1717" spans="5:10" x14ac:dyDescent="0.3">
      <c r="E1717" s="3"/>
      <c r="F1717" s="3"/>
      <c r="G1717" s="143"/>
      <c r="H1717" s="134"/>
      <c r="I1717" s="135"/>
      <c r="J1717" s="134"/>
    </row>
    <row r="1718" spans="5:10" x14ac:dyDescent="0.3">
      <c r="E1718" s="3"/>
      <c r="F1718" s="3"/>
      <c r="G1718" s="143"/>
      <c r="H1718" s="134"/>
      <c r="I1718" s="135"/>
      <c r="J1718" s="134"/>
    </row>
    <row r="1719" spans="5:10" x14ac:dyDescent="0.3">
      <c r="E1719" s="3"/>
      <c r="F1719" s="3"/>
      <c r="G1719" s="143"/>
      <c r="H1719" s="134"/>
      <c r="I1719" s="135"/>
      <c r="J1719" s="134"/>
    </row>
    <row r="1720" spans="5:10" x14ac:dyDescent="0.3">
      <c r="E1720" s="3"/>
      <c r="F1720" s="3"/>
      <c r="G1720" s="143"/>
      <c r="H1720" s="134"/>
      <c r="I1720" s="135"/>
      <c r="J1720" s="134"/>
    </row>
    <row r="1721" spans="5:10" x14ac:dyDescent="0.3">
      <c r="E1721" s="3"/>
      <c r="F1721" s="3"/>
      <c r="G1721" s="143"/>
      <c r="H1721" s="134"/>
      <c r="I1721" s="135"/>
      <c r="J1721" s="134"/>
    </row>
    <row r="1722" spans="5:10" x14ac:dyDescent="0.3">
      <c r="E1722" s="3"/>
      <c r="F1722" s="3"/>
      <c r="G1722" s="143"/>
      <c r="H1722" s="134"/>
      <c r="I1722" s="135"/>
      <c r="J1722" s="134"/>
    </row>
    <row r="1723" spans="5:10" x14ac:dyDescent="0.3">
      <c r="E1723" s="3"/>
      <c r="F1723" s="3"/>
      <c r="G1723" s="143"/>
      <c r="H1723" s="134"/>
      <c r="I1723" s="135"/>
      <c r="J1723" s="134"/>
    </row>
    <row r="1724" spans="5:10" x14ac:dyDescent="0.3">
      <c r="E1724" s="3"/>
      <c r="F1724" s="3"/>
      <c r="G1724" s="143"/>
      <c r="H1724" s="134"/>
      <c r="I1724" s="135"/>
      <c r="J1724" s="134"/>
    </row>
    <row r="1725" spans="5:10" x14ac:dyDescent="0.3">
      <c r="E1725" s="3"/>
      <c r="F1725" s="3"/>
      <c r="G1725" s="143"/>
      <c r="H1725" s="134"/>
      <c r="I1725" s="135"/>
      <c r="J1725" s="134"/>
    </row>
    <row r="1726" spans="5:10" x14ac:dyDescent="0.3">
      <c r="E1726" s="3"/>
      <c r="F1726" s="3"/>
      <c r="G1726" s="143"/>
      <c r="H1726" s="134"/>
      <c r="I1726" s="135"/>
      <c r="J1726" s="134"/>
    </row>
    <row r="1727" spans="5:10" x14ac:dyDescent="0.3">
      <c r="E1727" s="3"/>
      <c r="F1727" s="3"/>
      <c r="G1727" s="143"/>
      <c r="H1727" s="134"/>
      <c r="I1727" s="135"/>
      <c r="J1727" s="134"/>
    </row>
    <row r="1728" spans="5:10" x14ac:dyDescent="0.3">
      <c r="E1728" s="3"/>
      <c r="F1728" s="3"/>
      <c r="G1728" s="143"/>
      <c r="H1728" s="134"/>
      <c r="I1728" s="135"/>
      <c r="J1728" s="134"/>
    </row>
    <row r="1729" spans="5:10" x14ac:dyDescent="0.3">
      <c r="E1729" s="3"/>
      <c r="F1729" s="3"/>
      <c r="G1729" s="143"/>
      <c r="H1729" s="134"/>
      <c r="I1729" s="135"/>
      <c r="J1729" s="134"/>
    </row>
    <row r="1730" spans="5:10" x14ac:dyDescent="0.3">
      <c r="E1730" s="3"/>
      <c r="F1730" s="3"/>
      <c r="G1730" s="143"/>
      <c r="H1730" s="134"/>
      <c r="I1730" s="135"/>
      <c r="J1730" s="134"/>
    </row>
    <row r="1731" spans="5:10" x14ac:dyDescent="0.3">
      <c r="E1731" s="3"/>
      <c r="F1731" s="3"/>
      <c r="G1731" s="143"/>
      <c r="H1731" s="134"/>
      <c r="I1731" s="135"/>
      <c r="J1731" s="134"/>
    </row>
    <row r="1732" spans="5:10" x14ac:dyDescent="0.3">
      <c r="E1732" s="3"/>
      <c r="F1732" s="3"/>
      <c r="G1732" s="143"/>
      <c r="H1732" s="134"/>
      <c r="I1732" s="135"/>
      <c r="J1732" s="134"/>
    </row>
    <row r="1733" spans="5:10" x14ac:dyDescent="0.3">
      <c r="E1733" s="3"/>
      <c r="F1733" s="3"/>
      <c r="G1733" s="143"/>
      <c r="H1733" s="134"/>
      <c r="I1733" s="135"/>
      <c r="J1733" s="134"/>
    </row>
    <row r="1734" spans="5:10" x14ac:dyDescent="0.3">
      <c r="E1734" s="3"/>
      <c r="F1734" s="3"/>
      <c r="G1734" s="143"/>
      <c r="H1734" s="134"/>
      <c r="I1734" s="135"/>
      <c r="J1734" s="134"/>
    </row>
    <row r="1735" spans="5:10" x14ac:dyDescent="0.3">
      <c r="E1735" s="3"/>
      <c r="F1735" s="3"/>
      <c r="G1735" s="143"/>
      <c r="H1735" s="134"/>
      <c r="I1735" s="135"/>
      <c r="J1735" s="134"/>
    </row>
    <row r="1736" spans="5:10" x14ac:dyDescent="0.3">
      <c r="E1736" s="3"/>
      <c r="F1736" s="3"/>
      <c r="G1736" s="143"/>
      <c r="H1736" s="134"/>
      <c r="I1736" s="135"/>
      <c r="J1736" s="134"/>
    </row>
    <row r="1737" spans="5:10" x14ac:dyDescent="0.3">
      <c r="E1737" s="3"/>
      <c r="F1737" s="3"/>
      <c r="G1737" s="143"/>
      <c r="H1737" s="134"/>
      <c r="I1737" s="135"/>
      <c r="J1737" s="134"/>
    </row>
    <row r="1738" spans="5:10" x14ac:dyDescent="0.3">
      <c r="E1738" s="3"/>
      <c r="F1738" s="3"/>
      <c r="G1738" s="143"/>
      <c r="H1738" s="134"/>
      <c r="I1738" s="135"/>
      <c r="J1738" s="134"/>
    </row>
    <row r="1739" spans="5:10" x14ac:dyDescent="0.3">
      <c r="E1739" s="3"/>
      <c r="F1739" s="3"/>
      <c r="G1739" s="143"/>
      <c r="H1739" s="134"/>
      <c r="I1739" s="135"/>
      <c r="J1739" s="134"/>
    </row>
    <row r="1740" spans="5:10" x14ac:dyDescent="0.3">
      <c r="E1740" s="3"/>
      <c r="F1740" s="3"/>
      <c r="G1740" s="143"/>
      <c r="H1740" s="134"/>
      <c r="I1740" s="135"/>
      <c r="J1740" s="134"/>
    </row>
    <row r="1741" spans="5:10" x14ac:dyDescent="0.3">
      <c r="E1741" s="3"/>
      <c r="F1741" s="3"/>
      <c r="G1741" s="143"/>
      <c r="H1741" s="134"/>
      <c r="I1741" s="135"/>
      <c r="J1741" s="134"/>
    </row>
    <row r="1742" spans="5:10" x14ac:dyDescent="0.3">
      <c r="E1742" s="3"/>
      <c r="F1742" s="3"/>
      <c r="G1742" s="143"/>
      <c r="H1742" s="134"/>
      <c r="I1742" s="135"/>
      <c r="J1742" s="134"/>
    </row>
    <row r="1743" spans="5:10" x14ac:dyDescent="0.3">
      <c r="E1743" s="3"/>
      <c r="F1743" s="3"/>
      <c r="G1743" s="143"/>
      <c r="H1743" s="134"/>
      <c r="I1743" s="135"/>
      <c r="J1743" s="134"/>
    </row>
    <row r="1744" spans="5:10" x14ac:dyDescent="0.3">
      <c r="E1744" s="3"/>
      <c r="F1744" s="3"/>
      <c r="G1744" s="143"/>
      <c r="H1744" s="134"/>
      <c r="I1744" s="135"/>
      <c r="J1744" s="134"/>
    </row>
    <row r="1745" spans="5:10" x14ac:dyDescent="0.3">
      <c r="E1745" s="3"/>
      <c r="F1745" s="3"/>
      <c r="G1745" s="143"/>
      <c r="H1745" s="134"/>
      <c r="I1745" s="135"/>
      <c r="J1745" s="134"/>
    </row>
    <row r="1746" spans="5:10" x14ac:dyDescent="0.3">
      <c r="E1746" s="3"/>
      <c r="F1746" s="3"/>
      <c r="G1746" s="143"/>
      <c r="H1746" s="134"/>
      <c r="I1746" s="135"/>
      <c r="J1746" s="134"/>
    </row>
    <row r="1747" spans="5:10" x14ac:dyDescent="0.3">
      <c r="E1747" s="3"/>
      <c r="F1747" s="3"/>
      <c r="G1747" s="143"/>
      <c r="H1747" s="134"/>
      <c r="I1747" s="135"/>
      <c r="J1747" s="134"/>
    </row>
    <row r="1748" spans="5:10" x14ac:dyDescent="0.3">
      <c r="E1748" s="3"/>
      <c r="F1748" s="3"/>
      <c r="G1748" s="143"/>
      <c r="H1748" s="134"/>
      <c r="I1748" s="135"/>
      <c r="J1748" s="134"/>
    </row>
    <row r="1749" spans="5:10" x14ac:dyDescent="0.3">
      <c r="E1749" s="3"/>
      <c r="F1749" s="3"/>
      <c r="G1749" s="143"/>
      <c r="H1749" s="134"/>
      <c r="I1749" s="135"/>
      <c r="J1749" s="134"/>
    </row>
    <row r="1750" spans="5:10" x14ac:dyDescent="0.3">
      <c r="E1750" s="3"/>
      <c r="F1750" s="3"/>
      <c r="G1750" s="143"/>
      <c r="H1750" s="134"/>
      <c r="I1750" s="135"/>
      <c r="J1750" s="134"/>
    </row>
    <row r="1751" spans="5:10" x14ac:dyDescent="0.3">
      <c r="E1751" s="3"/>
      <c r="F1751" s="3"/>
      <c r="G1751" s="143"/>
      <c r="H1751" s="134"/>
      <c r="I1751" s="135"/>
      <c r="J1751" s="134"/>
    </row>
    <row r="1752" spans="5:10" x14ac:dyDescent="0.3">
      <c r="E1752" s="3"/>
      <c r="F1752" s="3"/>
      <c r="G1752" s="143"/>
      <c r="H1752" s="134"/>
      <c r="I1752" s="135"/>
      <c r="J1752" s="134"/>
    </row>
    <row r="1753" spans="5:10" x14ac:dyDescent="0.3">
      <c r="E1753" s="3"/>
      <c r="F1753" s="3"/>
      <c r="G1753" s="143"/>
      <c r="H1753" s="134"/>
      <c r="I1753" s="135"/>
      <c r="J1753" s="134"/>
    </row>
    <row r="1754" spans="5:10" x14ac:dyDescent="0.3">
      <c r="E1754" s="3"/>
      <c r="F1754" s="3"/>
      <c r="G1754" s="143"/>
      <c r="H1754" s="134"/>
      <c r="I1754" s="135"/>
      <c r="J1754" s="134"/>
    </row>
    <row r="1755" spans="5:10" x14ac:dyDescent="0.3">
      <c r="E1755" s="3"/>
      <c r="F1755" s="3"/>
      <c r="G1755" s="143"/>
      <c r="H1755" s="134"/>
      <c r="I1755" s="135"/>
      <c r="J1755" s="134"/>
    </row>
    <row r="1756" spans="5:10" x14ac:dyDescent="0.3">
      <c r="E1756" s="3"/>
      <c r="F1756" s="3"/>
      <c r="G1756" s="143"/>
      <c r="H1756" s="134"/>
      <c r="I1756" s="135"/>
      <c r="J1756" s="134"/>
    </row>
    <row r="1757" spans="5:10" x14ac:dyDescent="0.3">
      <c r="E1757" s="3"/>
      <c r="F1757" s="3"/>
      <c r="G1757" s="143"/>
      <c r="H1757" s="134"/>
      <c r="I1757" s="135"/>
      <c r="J1757" s="134"/>
    </row>
    <row r="1758" spans="5:10" x14ac:dyDescent="0.3">
      <c r="E1758" s="3"/>
      <c r="F1758" s="3"/>
      <c r="G1758" s="143"/>
      <c r="H1758" s="134"/>
      <c r="I1758" s="135"/>
      <c r="J1758" s="134"/>
    </row>
    <row r="1759" spans="5:10" x14ac:dyDescent="0.3">
      <c r="E1759" s="3"/>
      <c r="F1759" s="3"/>
      <c r="G1759" s="143"/>
      <c r="H1759" s="134"/>
      <c r="I1759" s="135"/>
      <c r="J1759" s="134"/>
    </row>
    <row r="1760" spans="5:10" x14ac:dyDescent="0.3">
      <c r="E1760" s="3"/>
      <c r="F1760" s="3"/>
      <c r="G1760" s="143"/>
      <c r="H1760" s="134"/>
      <c r="I1760" s="135"/>
      <c r="J1760" s="134"/>
    </row>
    <row r="1761" spans="5:10" x14ac:dyDescent="0.3">
      <c r="E1761" s="3"/>
      <c r="F1761" s="3"/>
      <c r="G1761" s="143"/>
      <c r="H1761" s="134"/>
      <c r="I1761" s="135"/>
      <c r="J1761" s="134"/>
    </row>
    <row r="1762" spans="5:10" x14ac:dyDescent="0.3">
      <c r="E1762" s="3"/>
      <c r="F1762" s="3"/>
      <c r="G1762" s="143"/>
      <c r="H1762" s="134"/>
      <c r="I1762" s="135"/>
      <c r="J1762" s="134"/>
    </row>
    <row r="1763" spans="5:10" x14ac:dyDescent="0.3">
      <c r="E1763" s="3"/>
      <c r="F1763" s="3"/>
      <c r="G1763" s="143"/>
      <c r="H1763" s="134"/>
      <c r="I1763" s="135"/>
      <c r="J1763" s="134"/>
    </row>
    <row r="1764" spans="5:10" x14ac:dyDescent="0.3">
      <c r="E1764" s="3"/>
      <c r="F1764" s="3"/>
      <c r="G1764" s="143"/>
      <c r="H1764" s="134"/>
      <c r="I1764" s="135"/>
      <c r="J1764" s="134"/>
    </row>
    <row r="1765" spans="5:10" x14ac:dyDescent="0.3">
      <c r="E1765" s="3"/>
      <c r="F1765" s="3"/>
      <c r="G1765" s="143"/>
      <c r="H1765" s="134"/>
      <c r="I1765" s="135"/>
      <c r="J1765" s="134"/>
    </row>
    <row r="1766" spans="5:10" x14ac:dyDescent="0.3">
      <c r="E1766" s="3"/>
      <c r="F1766" s="3"/>
      <c r="G1766" s="143"/>
      <c r="H1766" s="134"/>
      <c r="I1766" s="135"/>
      <c r="J1766" s="134"/>
    </row>
    <row r="1767" spans="5:10" x14ac:dyDescent="0.3">
      <c r="E1767" s="3"/>
      <c r="F1767" s="3"/>
      <c r="G1767" s="143"/>
      <c r="H1767" s="134"/>
      <c r="I1767" s="135"/>
      <c r="J1767" s="134"/>
    </row>
    <row r="1768" spans="5:10" x14ac:dyDescent="0.3">
      <c r="E1768" s="3"/>
      <c r="F1768" s="3"/>
      <c r="G1768" s="143"/>
      <c r="H1768" s="134"/>
      <c r="I1768" s="135"/>
      <c r="J1768" s="134"/>
    </row>
    <row r="1769" spans="5:10" x14ac:dyDescent="0.3">
      <c r="E1769" s="3"/>
      <c r="F1769" s="3"/>
      <c r="G1769" s="143"/>
      <c r="H1769" s="134"/>
      <c r="I1769" s="135"/>
      <c r="J1769" s="134"/>
    </row>
    <row r="1770" spans="5:10" x14ac:dyDescent="0.3">
      <c r="E1770" s="3"/>
      <c r="F1770" s="3"/>
      <c r="G1770" s="143"/>
      <c r="H1770" s="134"/>
      <c r="I1770" s="135"/>
      <c r="J1770" s="134"/>
    </row>
    <row r="1771" spans="5:10" x14ac:dyDescent="0.3">
      <c r="E1771" s="3"/>
      <c r="F1771" s="3"/>
      <c r="G1771" s="143"/>
      <c r="H1771" s="134"/>
      <c r="I1771" s="135"/>
      <c r="J1771" s="134"/>
    </row>
    <row r="1772" spans="5:10" x14ac:dyDescent="0.3">
      <c r="E1772" s="3"/>
      <c r="F1772" s="3"/>
      <c r="G1772" s="143"/>
      <c r="H1772" s="134"/>
      <c r="I1772" s="135"/>
      <c r="J1772" s="134"/>
    </row>
    <row r="1773" spans="5:10" x14ac:dyDescent="0.3">
      <c r="E1773" s="3"/>
      <c r="F1773" s="3"/>
      <c r="G1773" s="143"/>
      <c r="H1773" s="134"/>
      <c r="I1773" s="135"/>
      <c r="J1773" s="134"/>
    </row>
    <row r="1774" spans="5:10" x14ac:dyDescent="0.3">
      <c r="E1774" s="3"/>
      <c r="F1774" s="3"/>
      <c r="G1774" s="143"/>
      <c r="H1774" s="134"/>
      <c r="I1774" s="135"/>
      <c r="J1774" s="134"/>
    </row>
    <row r="1775" spans="5:10" x14ac:dyDescent="0.3">
      <c r="E1775" s="3"/>
      <c r="F1775" s="3"/>
      <c r="G1775" s="143"/>
      <c r="H1775" s="134"/>
      <c r="I1775" s="135"/>
      <c r="J1775" s="134"/>
    </row>
    <row r="1776" spans="5:10" x14ac:dyDescent="0.3">
      <c r="E1776" s="3"/>
      <c r="F1776" s="3"/>
      <c r="G1776" s="143"/>
      <c r="H1776" s="134"/>
      <c r="I1776" s="135"/>
      <c r="J1776" s="134"/>
    </row>
    <row r="1777" spans="5:10" x14ac:dyDescent="0.3">
      <c r="E1777" s="3"/>
      <c r="F1777" s="3"/>
      <c r="G1777" s="143"/>
      <c r="H1777" s="134"/>
      <c r="I1777" s="135"/>
      <c r="J1777" s="134"/>
    </row>
    <row r="1778" spans="5:10" x14ac:dyDescent="0.3">
      <c r="E1778" s="3"/>
      <c r="F1778" s="3"/>
      <c r="G1778" s="143"/>
      <c r="H1778" s="134"/>
      <c r="I1778" s="135"/>
      <c r="J1778" s="134"/>
    </row>
    <row r="1779" spans="5:10" x14ac:dyDescent="0.3">
      <c r="E1779" s="3"/>
      <c r="F1779" s="3"/>
      <c r="G1779" s="143"/>
      <c r="H1779" s="134"/>
      <c r="I1779" s="135"/>
      <c r="J1779" s="134"/>
    </row>
    <row r="1780" spans="5:10" x14ac:dyDescent="0.3">
      <c r="E1780" s="3"/>
      <c r="F1780" s="3"/>
      <c r="G1780" s="143"/>
      <c r="H1780" s="134"/>
      <c r="I1780" s="135"/>
      <c r="J1780" s="134"/>
    </row>
    <row r="1781" spans="5:10" x14ac:dyDescent="0.3">
      <c r="E1781" s="3"/>
      <c r="F1781" s="3"/>
      <c r="G1781" s="143"/>
      <c r="H1781" s="134"/>
      <c r="I1781" s="135"/>
      <c r="J1781" s="134"/>
    </row>
    <row r="1782" spans="5:10" x14ac:dyDescent="0.3">
      <c r="E1782" s="3"/>
      <c r="F1782" s="3"/>
      <c r="G1782" s="143"/>
      <c r="H1782" s="134"/>
      <c r="I1782" s="135"/>
      <c r="J1782" s="134"/>
    </row>
    <row r="1783" spans="5:10" x14ac:dyDescent="0.3">
      <c r="E1783" s="3"/>
      <c r="F1783" s="3"/>
      <c r="G1783" s="143"/>
      <c r="H1783" s="134"/>
      <c r="I1783" s="135"/>
      <c r="J1783" s="134"/>
    </row>
    <row r="1784" spans="5:10" x14ac:dyDescent="0.3">
      <c r="E1784" s="3"/>
      <c r="F1784" s="3"/>
      <c r="G1784" s="143"/>
      <c r="H1784" s="134"/>
      <c r="I1784" s="135"/>
      <c r="J1784" s="134"/>
    </row>
    <row r="1785" spans="5:10" x14ac:dyDescent="0.3">
      <c r="E1785" s="3"/>
      <c r="F1785" s="3"/>
      <c r="G1785" s="143"/>
      <c r="H1785" s="134"/>
      <c r="I1785" s="135"/>
      <c r="J1785" s="134"/>
    </row>
    <row r="1786" spans="5:10" x14ac:dyDescent="0.3">
      <c r="E1786" s="3"/>
      <c r="F1786" s="3"/>
      <c r="G1786" s="143"/>
      <c r="H1786" s="134"/>
      <c r="I1786" s="135"/>
      <c r="J1786" s="134"/>
    </row>
    <row r="1787" spans="5:10" x14ac:dyDescent="0.3">
      <c r="E1787" s="3"/>
      <c r="F1787" s="3"/>
      <c r="G1787" s="143"/>
      <c r="H1787" s="134"/>
      <c r="I1787" s="135"/>
      <c r="J1787" s="134"/>
    </row>
    <row r="1788" spans="5:10" x14ac:dyDescent="0.3">
      <c r="E1788" s="3"/>
      <c r="F1788" s="3"/>
      <c r="G1788" s="143"/>
      <c r="H1788" s="134"/>
      <c r="I1788" s="135"/>
      <c r="J1788" s="134"/>
    </row>
    <row r="1789" spans="5:10" x14ac:dyDescent="0.3">
      <c r="E1789" s="3"/>
      <c r="F1789" s="3"/>
      <c r="G1789" s="143"/>
      <c r="H1789" s="134"/>
      <c r="I1789" s="135"/>
      <c r="J1789" s="134"/>
    </row>
    <row r="1790" spans="5:10" x14ac:dyDescent="0.3">
      <c r="E1790" s="3"/>
      <c r="F1790" s="3"/>
      <c r="G1790" s="143"/>
      <c r="H1790" s="134"/>
      <c r="I1790" s="135"/>
      <c r="J1790" s="134"/>
    </row>
    <row r="1791" spans="5:10" x14ac:dyDescent="0.3">
      <c r="E1791" s="3"/>
      <c r="F1791" s="3"/>
      <c r="G1791" s="143"/>
      <c r="H1791" s="134"/>
      <c r="I1791" s="135"/>
      <c r="J1791" s="134"/>
    </row>
    <row r="1792" spans="5:10" x14ac:dyDescent="0.3">
      <c r="E1792" s="3"/>
      <c r="F1792" s="3"/>
      <c r="G1792" s="143"/>
      <c r="H1792" s="134"/>
      <c r="I1792" s="135"/>
      <c r="J1792" s="134"/>
    </row>
    <row r="1793" spans="5:10" x14ac:dyDescent="0.3">
      <c r="E1793" s="3"/>
      <c r="F1793" s="3"/>
      <c r="G1793" s="143"/>
      <c r="H1793" s="134"/>
      <c r="I1793" s="135"/>
      <c r="J1793" s="134"/>
    </row>
    <row r="1794" spans="5:10" x14ac:dyDescent="0.3">
      <c r="E1794" s="3"/>
      <c r="F1794" s="3"/>
      <c r="G1794" s="143"/>
      <c r="H1794" s="134"/>
      <c r="I1794" s="135"/>
      <c r="J1794" s="134"/>
    </row>
    <row r="1795" spans="5:10" x14ac:dyDescent="0.3">
      <c r="E1795" s="3"/>
      <c r="F1795" s="3"/>
      <c r="G1795" s="143"/>
      <c r="H1795" s="134"/>
      <c r="I1795" s="135"/>
      <c r="J1795" s="134"/>
    </row>
    <row r="1796" spans="5:10" x14ac:dyDescent="0.3">
      <c r="E1796" s="3"/>
      <c r="F1796" s="3"/>
      <c r="G1796" s="143"/>
      <c r="H1796" s="134"/>
      <c r="I1796" s="135"/>
      <c r="J1796" s="134"/>
    </row>
    <row r="1797" spans="5:10" x14ac:dyDescent="0.3">
      <c r="E1797" s="3"/>
      <c r="F1797" s="3"/>
      <c r="G1797" s="143"/>
      <c r="H1797" s="134"/>
      <c r="I1797" s="135"/>
      <c r="J1797" s="134"/>
    </row>
    <row r="1798" spans="5:10" x14ac:dyDescent="0.3">
      <c r="E1798" s="3"/>
      <c r="F1798" s="3"/>
      <c r="G1798" s="143"/>
      <c r="H1798" s="134"/>
      <c r="I1798" s="135"/>
      <c r="J1798" s="134"/>
    </row>
    <row r="1799" spans="5:10" x14ac:dyDescent="0.3">
      <c r="E1799" s="3"/>
      <c r="F1799" s="3"/>
      <c r="G1799" s="143"/>
      <c r="H1799" s="134"/>
      <c r="I1799" s="135"/>
      <c r="J1799" s="134"/>
    </row>
    <row r="1800" spans="5:10" x14ac:dyDescent="0.3">
      <c r="E1800" s="3"/>
      <c r="F1800" s="3"/>
      <c r="G1800" s="143"/>
      <c r="H1800" s="134"/>
      <c r="I1800" s="135"/>
      <c r="J1800" s="134"/>
    </row>
    <row r="1801" spans="5:10" x14ac:dyDescent="0.3">
      <c r="E1801" s="3"/>
      <c r="F1801" s="3"/>
      <c r="G1801" s="143"/>
      <c r="H1801" s="134"/>
      <c r="I1801" s="135"/>
      <c r="J1801" s="134"/>
    </row>
    <row r="1802" spans="5:10" x14ac:dyDescent="0.3">
      <c r="E1802" s="3"/>
      <c r="F1802" s="3"/>
      <c r="G1802" s="143"/>
      <c r="H1802" s="134"/>
      <c r="I1802" s="135"/>
      <c r="J1802" s="134"/>
    </row>
    <row r="1803" spans="5:10" x14ac:dyDescent="0.3">
      <c r="E1803" s="3"/>
      <c r="F1803" s="3"/>
      <c r="G1803" s="143"/>
      <c r="H1803" s="134"/>
      <c r="I1803" s="135"/>
      <c r="J1803" s="134"/>
    </row>
    <row r="1804" spans="5:10" x14ac:dyDescent="0.3">
      <c r="E1804" s="3"/>
      <c r="F1804" s="3"/>
      <c r="G1804" s="143"/>
      <c r="H1804" s="134"/>
      <c r="I1804" s="135"/>
      <c r="J1804" s="134"/>
    </row>
    <row r="1805" spans="5:10" x14ac:dyDescent="0.3">
      <c r="E1805" s="3"/>
      <c r="F1805" s="3"/>
      <c r="G1805" s="143"/>
      <c r="H1805" s="134"/>
      <c r="I1805" s="135"/>
      <c r="J1805" s="134"/>
    </row>
    <row r="1806" spans="5:10" x14ac:dyDescent="0.3">
      <c r="E1806" s="3"/>
      <c r="F1806" s="3"/>
      <c r="G1806" s="143"/>
      <c r="H1806" s="134"/>
      <c r="I1806" s="135"/>
      <c r="J1806" s="134"/>
    </row>
    <row r="1807" spans="5:10" x14ac:dyDescent="0.3">
      <c r="E1807" s="3"/>
      <c r="F1807" s="3"/>
      <c r="G1807" s="143"/>
      <c r="H1807" s="134"/>
      <c r="I1807" s="135"/>
      <c r="J1807" s="134"/>
    </row>
    <row r="1808" spans="5:10" x14ac:dyDescent="0.3">
      <c r="E1808" s="3"/>
      <c r="F1808" s="3"/>
      <c r="G1808" s="143"/>
      <c r="H1808" s="134"/>
      <c r="I1808" s="135"/>
      <c r="J1808" s="134"/>
    </row>
    <row r="1809" spans="5:10" x14ac:dyDescent="0.3">
      <c r="E1809" s="3"/>
      <c r="F1809" s="3"/>
      <c r="G1809" s="143"/>
      <c r="H1809" s="134"/>
      <c r="I1809" s="135"/>
      <c r="J1809" s="134"/>
    </row>
    <row r="1810" spans="5:10" x14ac:dyDescent="0.3">
      <c r="E1810" s="3"/>
      <c r="F1810" s="3"/>
      <c r="G1810" s="143"/>
      <c r="H1810" s="134"/>
      <c r="I1810" s="135"/>
      <c r="J1810" s="134"/>
    </row>
    <row r="1811" spans="5:10" x14ac:dyDescent="0.3">
      <c r="E1811" s="3"/>
      <c r="F1811" s="3"/>
      <c r="G1811" s="143"/>
      <c r="H1811" s="134"/>
      <c r="I1811" s="135"/>
      <c r="J1811" s="134"/>
    </row>
    <row r="1812" spans="5:10" x14ac:dyDescent="0.3">
      <c r="E1812" s="3"/>
      <c r="F1812" s="3"/>
      <c r="G1812" s="143"/>
      <c r="H1812" s="134"/>
      <c r="I1812" s="135"/>
      <c r="J1812" s="134"/>
    </row>
    <row r="1813" spans="5:10" x14ac:dyDescent="0.3">
      <c r="E1813" s="3"/>
      <c r="F1813" s="3"/>
      <c r="G1813" s="143"/>
      <c r="H1813" s="134"/>
      <c r="I1813" s="135"/>
      <c r="J1813" s="134"/>
    </row>
    <row r="1814" spans="5:10" x14ac:dyDescent="0.3">
      <c r="E1814" s="3"/>
      <c r="F1814" s="3"/>
      <c r="G1814" s="143"/>
      <c r="H1814" s="134"/>
      <c r="I1814" s="135"/>
      <c r="J1814" s="134"/>
    </row>
    <row r="1815" spans="5:10" x14ac:dyDescent="0.3">
      <c r="E1815" s="3"/>
      <c r="F1815" s="3"/>
      <c r="G1815" s="143"/>
      <c r="H1815" s="134"/>
      <c r="I1815" s="135"/>
      <c r="J1815" s="134"/>
    </row>
    <row r="1816" spans="5:10" x14ac:dyDescent="0.3">
      <c r="E1816" s="3"/>
      <c r="F1816" s="3"/>
      <c r="G1816" s="143"/>
      <c r="H1816" s="134"/>
      <c r="I1816" s="135"/>
      <c r="J1816" s="134"/>
    </row>
    <row r="1817" spans="5:10" x14ac:dyDescent="0.3">
      <c r="E1817" s="3"/>
      <c r="F1817" s="3"/>
      <c r="G1817" s="143"/>
      <c r="H1817" s="134"/>
      <c r="I1817" s="135"/>
      <c r="J1817" s="134"/>
    </row>
    <row r="1818" spans="5:10" x14ac:dyDescent="0.3">
      <c r="E1818" s="3"/>
      <c r="F1818" s="3"/>
      <c r="G1818" s="143"/>
      <c r="H1818" s="134"/>
      <c r="I1818" s="135"/>
      <c r="J1818" s="134"/>
    </row>
    <row r="1819" spans="5:10" x14ac:dyDescent="0.3">
      <c r="E1819" s="3"/>
      <c r="F1819" s="3"/>
      <c r="G1819" s="143"/>
      <c r="H1819" s="134"/>
      <c r="I1819" s="135"/>
      <c r="J1819" s="134"/>
    </row>
    <row r="1820" spans="5:10" x14ac:dyDescent="0.3">
      <c r="E1820" s="3"/>
      <c r="F1820" s="3"/>
      <c r="G1820" s="143"/>
      <c r="H1820" s="134"/>
      <c r="I1820" s="135"/>
      <c r="J1820" s="134"/>
    </row>
    <row r="1821" spans="5:10" x14ac:dyDescent="0.3">
      <c r="E1821" s="3"/>
      <c r="F1821" s="3"/>
      <c r="G1821" s="143"/>
      <c r="H1821" s="134"/>
      <c r="I1821" s="135"/>
      <c r="J1821" s="134"/>
    </row>
    <row r="1822" spans="5:10" x14ac:dyDescent="0.3">
      <c r="E1822" s="3"/>
      <c r="F1822" s="3"/>
      <c r="G1822" s="143"/>
      <c r="H1822" s="134"/>
      <c r="I1822" s="135"/>
      <c r="J1822" s="134"/>
    </row>
    <row r="1823" spans="5:10" x14ac:dyDescent="0.3">
      <c r="E1823" s="3"/>
      <c r="F1823" s="3"/>
      <c r="G1823" s="143"/>
      <c r="H1823" s="134"/>
      <c r="I1823" s="135"/>
      <c r="J1823" s="134"/>
    </row>
    <row r="1824" spans="5:10" x14ac:dyDescent="0.3">
      <c r="E1824" s="3"/>
      <c r="F1824" s="3"/>
      <c r="G1824" s="143"/>
      <c r="H1824" s="134"/>
      <c r="I1824" s="135"/>
      <c r="J1824" s="134"/>
    </row>
    <row r="1825" spans="5:10" x14ac:dyDescent="0.3">
      <c r="E1825" s="3"/>
      <c r="F1825" s="3"/>
      <c r="G1825" s="143"/>
      <c r="H1825" s="134"/>
      <c r="I1825" s="135"/>
      <c r="J1825" s="134"/>
    </row>
    <row r="1826" spans="5:10" x14ac:dyDescent="0.3">
      <c r="E1826" s="3"/>
      <c r="F1826" s="3"/>
      <c r="G1826" s="143"/>
      <c r="H1826" s="134"/>
      <c r="I1826" s="135"/>
      <c r="J1826" s="134"/>
    </row>
    <row r="1827" spans="5:10" x14ac:dyDescent="0.3">
      <c r="E1827" s="3"/>
      <c r="F1827" s="3"/>
      <c r="G1827" s="143"/>
      <c r="H1827" s="134"/>
      <c r="I1827" s="135"/>
      <c r="J1827" s="134"/>
    </row>
    <row r="1828" spans="5:10" x14ac:dyDescent="0.3">
      <c r="E1828" s="3"/>
      <c r="F1828" s="3"/>
      <c r="G1828" s="143"/>
      <c r="H1828" s="134"/>
      <c r="I1828" s="135"/>
      <c r="J1828" s="134"/>
    </row>
    <row r="1829" spans="5:10" x14ac:dyDescent="0.3">
      <c r="E1829" s="3"/>
      <c r="F1829" s="3"/>
      <c r="G1829" s="143"/>
      <c r="H1829" s="134"/>
      <c r="I1829" s="135"/>
      <c r="J1829" s="134"/>
    </row>
    <row r="1830" spans="5:10" x14ac:dyDescent="0.3">
      <c r="E1830" s="3"/>
      <c r="F1830" s="3"/>
      <c r="G1830" s="143"/>
      <c r="H1830" s="134"/>
      <c r="I1830" s="135"/>
      <c r="J1830" s="134"/>
    </row>
    <row r="1831" spans="5:10" x14ac:dyDescent="0.3">
      <c r="E1831" s="3"/>
      <c r="F1831" s="3"/>
      <c r="G1831" s="143"/>
      <c r="H1831" s="134"/>
      <c r="I1831" s="135"/>
      <c r="J1831" s="134"/>
    </row>
    <row r="1832" spans="5:10" x14ac:dyDescent="0.3">
      <c r="E1832" s="3"/>
      <c r="F1832" s="3"/>
      <c r="G1832" s="143"/>
      <c r="H1832" s="134"/>
      <c r="I1832" s="135"/>
      <c r="J1832" s="134"/>
    </row>
    <row r="1833" spans="5:10" x14ac:dyDescent="0.3">
      <c r="E1833" s="3"/>
      <c r="F1833" s="3"/>
      <c r="G1833" s="143"/>
      <c r="H1833" s="134"/>
      <c r="I1833" s="135"/>
      <c r="J1833" s="134"/>
    </row>
    <row r="1834" spans="5:10" x14ac:dyDescent="0.3">
      <c r="E1834" s="3"/>
      <c r="F1834" s="3"/>
      <c r="G1834" s="143"/>
      <c r="H1834" s="134"/>
      <c r="I1834" s="135"/>
      <c r="J1834" s="134"/>
    </row>
    <row r="1835" spans="5:10" x14ac:dyDescent="0.3">
      <c r="E1835" s="3"/>
      <c r="F1835" s="3"/>
      <c r="G1835" s="143"/>
      <c r="H1835" s="134"/>
      <c r="I1835" s="135"/>
      <c r="J1835" s="134"/>
    </row>
    <row r="1836" spans="5:10" x14ac:dyDescent="0.3">
      <c r="E1836" s="3"/>
      <c r="F1836" s="3"/>
      <c r="G1836" s="143"/>
      <c r="H1836" s="134"/>
      <c r="I1836" s="135"/>
      <c r="J1836" s="134"/>
    </row>
    <row r="1837" spans="5:10" x14ac:dyDescent="0.3">
      <c r="E1837" s="3"/>
      <c r="F1837" s="3"/>
      <c r="G1837" s="143"/>
      <c r="H1837" s="134"/>
      <c r="I1837" s="135"/>
      <c r="J1837" s="134"/>
    </row>
    <row r="1838" spans="5:10" x14ac:dyDescent="0.3">
      <c r="E1838" s="3"/>
      <c r="F1838" s="3"/>
      <c r="G1838" s="143"/>
      <c r="H1838" s="134"/>
      <c r="I1838" s="135"/>
      <c r="J1838" s="134"/>
    </row>
    <row r="1839" spans="5:10" x14ac:dyDescent="0.3">
      <c r="E1839" s="3"/>
      <c r="F1839" s="3"/>
      <c r="G1839" s="143"/>
      <c r="H1839" s="134"/>
      <c r="I1839" s="135"/>
      <c r="J1839" s="134"/>
    </row>
    <row r="1840" spans="5:10" x14ac:dyDescent="0.3">
      <c r="E1840" s="3"/>
      <c r="F1840" s="3"/>
      <c r="G1840" s="143"/>
      <c r="H1840" s="134"/>
      <c r="I1840" s="135"/>
      <c r="J1840" s="134"/>
    </row>
    <row r="1841" spans="5:10" x14ac:dyDescent="0.3">
      <c r="E1841" s="3"/>
      <c r="F1841" s="3"/>
      <c r="G1841" s="143"/>
      <c r="H1841" s="134"/>
      <c r="I1841" s="135"/>
      <c r="J1841" s="134"/>
    </row>
    <row r="1842" spans="5:10" x14ac:dyDescent="0.3">
      <c r="E1842" s="3"/>
      <c r="F1842" s="3"/>
      <c r="G1842" s="143"/>
      <c r="H1842" s="134"/>
      <c r="I1842" s="135"/>
      <c r="J1842" s="134"/>
    </row>
    <row r="1843" spans="5:10" x14ac:dyDescent="0.3">
      <c r="E1843" s="3"/>
      <c r="F1843" s="3"/>
      <c r="G1843" s="143"/>
      <c r="H1843" s="134"/>
      <c r="I1843" s="135"/>
      <c r="J1843" s="134"/>
    </row>
    <row r="1844" spans="5:10" x14ac:dyDescent="0.3">
      <c r="E1844" s="3"/>
      <c r="F1844" s="3"/>
      <c r="G1844" s="143"/>
      <c r="H1844" s="134"/>
      <c r="I1844" s="135"/>
      <c r="J1844" s="134"/>
    </row>
    <row r="1845" spans="5:10" x14ac:dyDescent="0.3">
      <c r="E1845" s="3"/>
      <c r="F1845" s="3"/>
      <c r="G1845" s="143"/>
      <c r="H1845" s="134"/>
      <c r="I1845" s="135"/>
      <c r="J1845" s="134"/>
    </row>
    <row r="1846" spans="5:10" x14ac:dyDescent="0.3">
      <c r="E1846" s="3"/>
      <c r="F1846" s="3"/>
      <c r="G1846" s="143"/>
      <c r="H1846" s="134"/>
      <c r="I1846" s="135"/>
      <c r="J1846" s="134"/>
    </row>
    <row r="1847" spans="5:10" x14ac:dyDescent="0.3">
      <c r="E1847" s="3"/>
      <c r="F1847" s="3"/>
      <c r="G1847" s="143"/>
      <c r="H1847" s="134"/>
      <c r="I1847" s="135"/>
      <c r="J1847" s="134"/>
    </row>
    <row r="1848" spans="5:10" x14ac:dyDescent="0.3">
      <c r="E1848" s="3"/>
      <c r="F1848" s="3"/>
      <c r="G1848" s="143"/>
      <c r="H1848" s="134"/>
      <c r="I1848" s="135"/>
      <c r="J1848" s="134"/>
    </row>
    <row r="1849" spans="5:10" x14ac:dyDescent="0.3">
      <c r="E1849" s="3"/>
      <c r="F1849" s="3"/>
      <c r="G1849" s="143"/>
      <c r="H1849" s="134"/>
      <c r="I1849" s="135"/>
      <c r="J1849" s="134"/>
    </row>
    <row r="1850" spans="5:10" x14ac:dyDescent="0.3">
      <c r="E1850" s="3"/>
      <c r="F1850" s="3"/>
      <c r="G1850" s="143"/>
      <c r="H1850" s="134"/>
      <c r="I1850" s="135"/>
      <c r="J1850" s="134"/>
    </row>
    <row r="1851" spans="5:10" x14ac:dyDescent="0.3">
      <c r="E1851" s="3"/>
      <c r="F1851" s="3"/>
      <c r="G1851" s="143"/>
      <c r="H1851" s="134"/>
      <c r="I1851" s="135"/>
      <c r="J1851" s="134"/>
    </row>
    <row r="1852" spans="5:10" x14ac:dyDescent="0.3">
      <c r="E1852" s="3"/>
      <c r="F1852" s="3"/>
      <c r="G1852" s="143"/>
      <c r="H1852" s="134"/>
      <c r="I1852" s="135"/>
      <c r="J1852" s="134"/>
    </row>
    <row r="1853" spans="5:10" x14ac:dyDescent="0.3">
      <c r="E1853" s="3"/>
      <c r="F1853" s="3"/>
      <c r="G1853" s="143"/>
      <c r="H1853" s="134"/>
      <c r="I1853" s="135"/>
      <c r="J1853" s="134"/>
    </row>
    <row r="1854" spans="5:10" x14ac:dyDescent="0.3">
      <c r="E1854" s="3"/>
      <c r="F1854" s="3"/>
      <c r="G1854" s="143"/>
      <c r="H1854" s="134"/>
      <c r="I1854" s="135"/>
      <c r="J1854" s="134"/>
    </row>
    <row r="1855" spans="5:10" x14ac:dyDescent="0.3">
      <c r="E1855" s="3"/>
      <c r="F1855" s="3"/>
      <c r="G1855" s="143"/>
      <c r="H1855" s="134"/>
      <c r="I1855" s="135"/>
      <c r="J1855" s="134"/>
    </row>
    <row r="1856" spans="5:10" x14ac:dyDescent="0.3">
      <c r="E1856" s="3"/>
      <c r="F1856" s="3"/>
      <c r="G1856" s="143"/>
      <c r="H1856" s="134"/>
      <c r="I1856" s="135"/>
      <c r="J1856" s="134"/>
    </row>
    <row r="1857" spans="5:10" x14ac:dyDescent="0.3">
      <c r="E1857" s="3"/>
      <c r="F1857" s="3"/>
      <c r="G1857" s="143"/>
      <c r="H1857" s="134"/>
      <c r="I1857" s="135"/>
      <c r="J1857" s="134"/>
    </row>
    <row r="1858" spans="5:10" x14ac:dyDescent="0.3">
      <c r="E1858" s="3"/>
      <c r="F1858" s="3"/>
      <c r="G1858" s="143"/>
      <c r="H1858" s="134"/>
      <c r="I1858" s="135"/>
      <c r="J1858" s="134"/>
    </row>
    <row r="1859" spans="5:10" x14ac:dyDescent="0.3">
      <c r="E1859" s="3"/>
      <c r="F1859" s="3"/>
      <c r="G1859" s="143"/>
      <c r="H1859" s="134"/>
      <c r="I1859" s="135"/>
      <c r="J1859" s="134"/>
    </row>
    <row r="1860" spans="5:10" x14ac:dyDescent="0.3">
      <c r="E1860" s="3"/>
      <c r="F1860" s="3"/>
      <c r="G1860" s="143"/>
      <c r="H1860" s="134"/>
      <c r="I1860" s="135"/>
      <c r="J1860" s="134"/>
    </row>
    <row r="1861" spans="5:10" x14ac:dyDescent="0.3">
      <c r="E1861" s="3"/>
      <c r="F1861" s="3"/>
      <c r="G1861" s="143"/>
      <c r="H1861" s="134"/>
      <c r="I1861" s="135"/>
      <c r="J1861" s="134"/>
    </row>
    <row r="1862" spans="5:10" x14ac:dyDescent="0.3">
      <c r="E1862" s="3"/>
      <c r="F1862" s="3"/>
      <c r="G1862" s="143"/>
      <c r="H1862" s="134"/>
      <c r="I1862" s="135"/>
      <c r="J1862" s="134"/>
    </row>
    <row r="1863" spans="5:10" x14ac:dyDescent="0.3">
      <c r="E1863" s="3"/>
      <c r="F1863" s="3"/>
      <c r="G1863" s="143"/>
      <c r="H1863" s="134"/>
      <c r="I1863" s="135"/>
      <c r="J1863" s="134"/>
    </row>
    <row r="1864" spans="5:10" x14ac:dyDescent="0.3">
      <c r="E1864" s="3"/>
      <c r="F1864" s="3"/>
      <c r="G1864" s="143"/>
      <c r="H1864" s="134"/>
      <c r="I1864" s="135"/>
      <c r="J1864" s="134"/>
    </row>
    <row r="1865" spans="5:10" x14ac:dyDescent="0.3">
      <c r="E1865" s="3"/>
      <c r="F1865" s="3"/>
      <c r="G1865" s="143"/>
      <c r="H1865" s="134"/>
      <c r="I1865" s="135"/>
      <c r="J1865" s="134"/>
    </row>
    <row r="1866" spans="5:10" x14ac:dyDescent="0.3">
      <c r="E1866" s="3"/>
      <c r="F1866" s="3"/>
      <c r="G1866" s="143"/>
      <c r="H1866" s="134"/>
      <c r="I1866" s="135"/>
      <c r="J1866" s="134"/>
    </row>
    <row r="1867" spans="5:10" x14ac:dyDescent="0.3">
      <c r="E1867" s="3"/>
      <c r="F1867" s="3"/>
      <c r="G1867" s="143"/>
      <c r="H1867" s="134"/>
      <c r="I1867" s="135"/>
      <c r="J1867" s="134"/>
    </row>
    <row r="1868" spans="5:10" x14ac:dyDescent="0.3">
      <c r="E1868" s="3"/>
      <c r="F1868" s="3"/>
      <c r="G1868" s="143"/>
      <c r="H1868" s="134"/>
      <c r="I1868" s="135"/>
      <c r="J1868" s="134"/>
    </row>
    <row r="1869" spans="5:10" x14ac:dyDescent="0.3">
      <c r="E1869" s="3"/>
      <c r="F1869" s="3"/>
      <c r="G1869" s="143"/>
      <c r="H1869" s="134"/>
      <c r="I1869" s="135"/>
      <c r="J1869" s="134"/>
    </row>
    <row r="1870" spans="5:10" x14ac:dyDescent="0.3">
      <c r="E1870" s="3"/>
      <c r="F1870" s="3"/>
      <c r="G1870" s="143"/>
      <c r="H1870" s="134"/>
      <c r="I1870" s="135"/>
      <c r="J1870" s="134"/>
    </row>
    <row r="1871" spans="5:10" x14ac:dyDescent="0.3">
      <c r="E1871" s="3"/>
      <c r="F1871" s="3"/>
      <c r="G1871" s="143"/>
      <c r="H1871" s="134"/>
      <c r="I1871" s="135"/>
      <c r="J1871" s="134"/>
    </row>
    <row r="1872" spans="5:10" x14ac:dyDescent="0.3">
      <c r="E1872" s="3"/>
      <c r="F1872" s="3"/>
      <c r="G1872" s="143"/>
      <c r="H1872" s="134"/>
      <c r="I1872" s="135"/>
      <c r="J1872" s="134"/>
    </row>
    <row r="1873" spans="5:10" x14ac:dyDescent="0.3">
      <c r="E1873" s="3"/>
      <c r="F1873" s="3"/>
      <c r="G1873" s="143"/>
      <c r="H1873" s="134"/>
      <c r="I1873" s="135"/>
      <c r="J1873" s="134"/>
    </row>
    <row r="1874" spans="5:10" x14ac:dyDescent="0.3">
      <c r="E1874" s="3"/>
      <c r="F1874" s="3"/>
      <c r="G1874" s="143"/>
      <c r="H1874" s="134"/>
      <c r="I1874" s="135"/>
      <c r="J1874" s="134"/>
    </row>
    <row r="1875" spans="5:10" x14ac:dyDescent="0.3">
      <c r="E1875" s="3"/>
      <c r="F1875" s="3"/>
      <c r="G1875" s="143"/>
      <c r="H1875" s="134"/>
      <c r="I1875" s="135"/>
      <c r="J1875" s="134"/>
    </row>
    <row r="1876" spans="5:10" x14ac:dyDescent="0.3">
      <c r="E1876" s="3"/>
      <c r="F1876" s="3"/>
      <c r="G1876" s="143"/>
      <c r="H1876" s="134"/>
      <c r="I1876" s="135"/>
      <c r="J1876" s="134"/>
    </row>
    <row r="1877" spans="5:10" x14ac:dyDescent="0.3">
      <c r="E1877" s="3"/>
      <c r="F1877" s="3"/>
      <c r="G1877" s="143"/>
      <c r="H1877" s="134"/>
      <c r="I1877" s="135"/>
      <c r="J1877" s="134"/>
    </row>
    <row r="1878" spans="5:10" x14ac:dyDescent="0.3">
      <c r="E1878" s="3"/>
      <c r="F1878" s="3"/>
      <c r="G1878" s="143"/>
      <c r="H1878" s="134"/>
      <c r="I1878" s="135"/>
      <c r="J1878" s="134"/>
    </row>
    <row r="1879" spans="5:10" x14ac:dyDescent="0.3">
      <c r="E1879" s="3"/>
      <c r="F1879" s="3"/>
      <c r="G1879" s="143"/>
      <c r="H1879" s="134"/>
      <c r="I1879" s="135"/>
      <c r="J1879" s="134"/>
    </row>
    <row r="1880" spans="5:10" x14ac:dyDescent="0.3">
      <c r="E1880" s="3"/>
      <c r="F1880" s="3"/>
      <c r="G1880" s="143"/>
      <c r="H1880" s="134"/>
      <c r="I1880" s="135"/>
      <c r="J1880" s="134"/>
    </row>
    <row r="1881" spans="5:10" x14ac:dyDescent="0.3">
      <c r="E1881" s="3"/>
      <c r="F1881" s="3"/>
      <c r="G1881" s="143"/>
      <c r="H1881" s="134"/>
      <c r="I1881" s="135"/>
      <c r="J1881" s="134"/>
    </row>
    <row r="1882" spans="5:10" x14ac:dyDescent="0.3">
      <c r="E1882" s="3"/>
      <c r="F1882" s="3"/>
      <c r="G1882" s="143"/>
      <c r="H1882" s="134"/>
      <c r="I1882" s="135"/>
      <c r="J1882" s="134"/>
    </row>
    <row r="1883" spans="5:10" x14ac:dyDescent="0.3">
      <c r="E1883" s="3"/>
      <c r="F1883" s="3"/>
      <c r="G1883" s="143"/>
      <c r="H1883" s="134"/>
      <c r="I1883" s="135"/>
      <c r="J1883" s="134"/>
    </row>
    <row r="1884" spans="5:10" x14ac:dyDescent="0.3">
      <c r="E1884" s="3"/>
      <c r="F1884" s="3"/>
      <c r="G1884" s="143"/>
      <c r="H1884" s="134"/>
      <c r="I1884" s="135"/>
      <c r="J1884" s="134"/>
    </row>
    <row r="1885" spans="5:10" x14ac:dyDescent="0.3">
      <c r="E1885" s="3"/>
      <c r="F1885" s="3"/>
      <c r="G1885" s="143"/>
      <c r="H1885" s="134"/>
      <c r="I1885" s="135"/>
      <c r="J1885" s="134"/>
    </row>
    <row r="1886" spans="5:10" x14ac:dyDescent="0.3">
      <c r="E1886" s="3"/>
      <c r="F1886" s="3"/>
      <c r="G1886" s="143"/>
      <c r="H1886" s="134"/>
      <c r="I1886" s="135"/>
      <c r="J1886" s="134"/>
    </row>
    <row r="1887" spans="5:10" x14ac:dyDescent="0.3">
      <c r="E1887" s="3"/>
      <c r="F1887" s="3"/>
      <c r="G1887" s="143"/>
      <c r="H1887" s="134"/>
      <c r="I1887" s="135"/>
      <c r="J1887" s="134"/>
    </row>
    <row r="1888" spans="5:10" x14ac:dyDescent="0.3">
      <c r="E1888" s="3"/>
      <c r="F1888" s="3"/>
      <c r="G1888" s="143"/>
      <c r="H1888" s="134"/>
      <c r="I1888" s="135"/>
      <c r="J1888" s="134"/>
    </row>
    <row r="1889" spans="5:10" x14ac:dyDescent="0.3">
      <c r="E1889" s="3"/>
      <c r="F1889" s="3"/>
      <c r="G1889" s="143"/>
      <c r="H1889" s="134"/>
      <c r="I1889" s="135"/>
      <c r="J1889" s="134"/>
    </row>
    <row r="1890" spans="5:10" x14ac:dyDescent="0.3">
      <c r="E1890" s="3"/>
      <c r="F1890" s="3"/>
      <c r="G1890" s="143"/>
      <c r="H1890" s="134"/>
      <c r="I1890" s="135"/>
      <c r="J1890" s="134"/>
    </row>
    <row r="1891" spans="5:10" x14ac:dyDescent="0.3">
      <c r="E1891" s="3"/>
      <c r="F1891" s="3"/>
      <c r="G1891" s="143"/>
      <c r="H1891" s="134"/>
      <c r="I1891" s="135"/>
      <c r="J1891" s="134"/>
    </row>
    <row r="1892" spans="5:10" x14ac:dyDescent="0.3">
      <c r="E1892" s="3"/>
      <c r="F1892" s="3"/>
      <c r="G1892" s="143"/>
      <c r="H1892" s="134"/>
      <c r="I1892" s="135"/>
      <c r="J1892" s="134"/>
    </row>
    <row r="1893" spans="5:10" x14ac:dyDescent="0.3">
      <c r="E1893" s="3"/>
      <c r="F1893" s="3"/>
      <c r="G1893" s="143"/>
      <c r="H1893" s="134"/>
      <c r="I1893" s="135"/>
      <c r="J1893" s="134"/>
    </row>
    <row r="1894" spans="5:10" x14ac:dyDescent="0.3">
      <c r="E1894" s="3"/>
      <c r="F1894" s="3"/>
      <c r="G1894" s="143"/>
      <c r="H1894" s="134"/>
      <c r="I1894" s="135"/>
      <c r="J1894" s="134"/>
    </row>
    <row r="1895" spans="5:10" x14ac:dyDescent="0.3">
      <c r="E1895" s="3"/>
      <c r="F1895" s="3"/>
      <c r="G1895" s="143"/>
      <c r="H1895" s="134"/>
      <c r="I1895" s="135"/>
      <c r="J1895" s="134"/>
    </row>
    <row r="1896" spans="5:10" x14ac:dyDescent="0.3">
      <c r="E1896" s="3"/>
      <c r="F1896" s="3"/>
      <c r="G1896" s="143"/>
      <c r="H1896" s="134"/>
      <c r="I1896" s="135"/>
      <c r="J1896" s="134"/>
    </row>
    <row r="1897" spans="5:10" x14ac:dyDescent="0.3">
      <c r="E1897" s="3"/>
      <c r="F1897" s="3"/>
      <c r="G1897" s="143"/>
      <c r="H1897" s="134"/>
      <c r="I1897" s="135"/>
      <c r="J1897" s="134"/>
    </row>
    <row r="1898" spans="5:10" x14ac:dyDescent="0.3">
      <c r="E1898" s="3"/>
      <c r="F1898" s="3"/>
      <c r="G1898" s="143"/>
      <c r="H1898" s="134"/>
      <c r="I1898" s="135"/>
      <c r="J1898" s="134"/>
    </row>
    <row r="1899" spans="5:10" x14ac:dyDescent="0.3">
      <c r="E1899" s="3"/>
      <c r="F1899" s="3"/>
      <c r="G1899" s="143"/>
      <c r="H1899" s="134"/>
      <c r="I1899" s="135"/>
      <c r="J1899" s="134"/>
    </row>
    <row r="1900" spans="5:10" x14ac:dyDescent="0.3">
      <c r="E1900" s="3"/>
      <c r="F1900" s="3"/>
      <c r="G1900" s="143"/>
      <c r="H1900" s="134"/>
      <c r="I1900" s="135"/>
      <c r="J1900" s="134"/>
    </row>
    <row r="1901" spans="5:10" x14ac:dyDescent="0.3">
      <c r="E1901" s="3"/>
      <c r="F1901" s="3"/>
      <c r="G1901" s="143"/>
      <c r="H1901" s="134"/>
      <c r="I1901" s="135"/>
      <c r="J1901" s="134"/>
    </row>
    <row r="1902" spans="5:10" x14ac:dyDescent="0.3">
      <c r="E1902" s="3"/>
      <c r="F1902" s="3"/>
      <c r="G1902" s="143"/>
      <c r="H1902" s="134"/>
      <c r="I1902" s="135"/>
      <c r="J1902" s="134"/>
    </row>
    <row r="1903" spans="5:10" x14ac:dyDescent="0.3">
      <c r="E1903" s="3"/>
      <c r="F1903" s="3"/>
      <c r="G1903" s="143"/>
      <c r="H1903" s="134"/>
      <c r="I1903" s="135"/>
      <c r="J1903" s="134"/>
    </row>
    <row r="1904" spans="5:10" x14ac:dyDescent="0.3">
      <c r="E1904" s="3"/>
      <c r="F1904" s="3"/>
      <c r="G1904" s="143"/>
      <c r="H1904" s="134"/>
      <c r="I1904" s="135"/>
      <c r="J1904" s="134"/>
    </row>
    <row r="1905" spans="5:10" x14ac:dyDescent="0.3">
      <c r="E1905" s="3"/>
      <c r="F1905" s="3"/>
      <c r="G1905" s="143"/>
      <c r="H1905" s="134"/>
      <c r="I1905" s="135"/>
      <c r="J1905" s="134"/>
    </row>
    <row r="1906" spans="5:10" x14ac:dyDescent="0.3">
      <c r="E1906" s="3"/>
      <c r="F1906" s="3"/>
      <c r="G1906" s="143"/>
      <c r="H1906" s="134"/>
      <c r="I1906" s="135"/>
      <c r="J1906" s="134"/>
    </row>
    <row r="1907" spans="5:10" x14ac:dyDescent="0.3">
      <c r="E1907" s="3"/>
      <c r="F1907" s="3"/>
      <c r="G1907" s="143"/>
      <c r="H1907" s="134"/>
      <c r="I1907" s="135"/>
      <c r="J1907" s="134"/>
    </row>
    <row r="1908" spans="5:10" x14ac:dyDescent="0.3">
      <c r="E1908" s="3"/>
      <c r="F1908" s="3"/>
      <c r="G1908" s="143"/>
      <c r="H1908" s="134"/>
      <c r="I1908" s="135"/>
      <c r="J1908" s="134"/>
    </row>
    <row r="1909" spans="5:10" x14ac:dyDescent="0.3">
      <c r="E1909" s="3"/>
      <c r="F1909" s="3"/>
      <c r="G1909" s="143"/>
      <c r="H1909" s="134"/>
      <c r="I1909" s="135"/>
      <c r="J1909" s="134"/>
    </row>
    <row r="1910" spans="5:10" x14ac:dyDescent="0.3">
      <c r="E1910" s="3"/>
      <c r="F1910" s="3"/>
      <c r="G1910" s="143"/>
      <c r="H1910" s="134"/>
      <c r="I1910" s="135"/>
      <c r="J1910" s="134"/>
    </row>
    <row r="1911" spans="5:10" x14ac:dyDescent="0.3">
      <c r="E1911" s="3"/>
      <c r="F1911" s="3"/>
      <c r="G1911" s="143"/>
      <c r="H1911" s="134"/>
      <c r="I1911" s="135"/>
      <c r="J1911" s="134"/>
    </row>
    <row r="1912" spans="5:10" x14ac:dyDescent="0.3">
      <c r="E1912" s="3"/>
      <c r="F1912" s="3"/>
      <c r="G1912" s="143"/>
      <c r="H1912" s="134"/>
      <c r="I1912" s="135"/>
      <c r="J1912" s="134"/>
    </row>
    <row r="1913" spans="5:10" x14ac:dyDescent="0.3">
      <c r="E1913" s="3"/>
      <c r="F1913" s="3"/>
      <c r="G1913" s="143"/>
      <c r="H1913" s="134"/>
      <c r="I1913" s="135"/>
      <c r="J1913" s="134"/>
    </row>
    <row r="1914" spans="5:10" x14ac:dyDescent="0.3">
      <c r="E1914" s="3"/>
      <c r="F1914" s="3"/>
      <c r="G1914" s="143"/>
      <c r="H1914" s="134"/>
      <c r="I1914" s="135"/>
      <c r="J1914" s="134"/>
    </row>
    <row r="1915" spans="5:10" x14ac:dyDescent="0.3">
      <c r="E1915" s="3"/>
      <c r="F1915" s="3"/>
      <c r="G1915" s="143"/>
      <c r="H1915" s="134"/>
      <c r="I1915" s="135"/>
      <c r="J1915" s="134"/>
    </row>
    <row r="1916" spans="5:10" x14ac:dyDescent="0.3">
      <c r="E1916" s="3"/>
      <c r="F1916" s="3"/>
      <c r="G1916" s="143"/>
      <c r="H1916" s="134"/>
      <c r="I1916" s="135"/>
      <c r="J1916" s="134"/>
    </row>
    <row r="1917" spans="5:10" x14ac:dyDescent="0.3">
      <c r="E1917" s="3"/>
      <c r="F1917" s="3"/>
      <c r="G1917" s="143"/>
      <c r="H1917" s="134"/>
      <c r="I1917" s="135"/>
      <c r="J1917" s="134"/>
    </row>
    <row r="1918" spans="5:10" x14ac:dyDescent="0.3">
      <c r="E1918" s="3"/>
      <c r="F1918" s="3"/>
      <c r="G1918" s="143"/>
      <c r="H1918" s="134"/>
      <c r="I1918" s="135"/>
      <c r="J1918" s="134"/>
    </row>
    <row r="1919" spans="5:10" x14ac:dyDescent="0.3">
      <c r="E1919" s="3"/>
      <c r="F1919" s="3"/>
      <c r="G1919" s="143"/>
      <c r="H1919" s="134"/>
      <c r="I1919" s="135"/>
      <c r="J1919" s="134"/>
    </row>
    <row r="1920" spans="5:10" x14ac:dyDescent="0.3">
      <c r="E1920" s="3"/>
      <c r="F1920" s="3"/>
      <c r="G1920" s="143"/>
      <c r="H1920" s="134"/>
      <c r="I1920" s="135"/>
      <c r="J1920" s="134"/>
    </row>
    <row r="1921" spans="5:10" x14ac:dyDescent="0.3">
      <c r="E1921" s="3"/>
      <c r="F1921" s="3"/>
      <c r="G1921" s="143"/>
      <c r="H1921" s="134"/>
      <c r="I1921" s="135"/>
      <c r="J1921" s="134"/>
    </row>
    <row r="1922" spans="5:10" x14ac:dyDescent="0.3">
      <c r="E1922" s="3"/>
      <c r="F1922" s="3"/>
      <c r="G1922" s="143"/>
      <c r="H1922" s="134"/>
      <c r="I1922" s="135"/>
      <c r="J1922" s="134"/>
    </row>
    <row r="1923" spans="5:10" x14ac:dyDescent="0.3">
      <c r="E1923" s="3"/>
      <c r="F1923" s="3"/>
      <c r="G1923" s="143"/>
      <c r="H1923" s="134"/>
      <c r="I1923" s="135"/>
      <c r="J1923" s="134"/>
    </row>
    <row r="1924" spans="5:10" x14ac:dyDescent="0.3">
      <c r="E1924" s="3"/>
      <c r="F1924" s="3"/>
      <c r="G1924" s="143"/>
      <c r="H1924" s="134"/>
      <c r="I1924" s="135"/>
      <c r="J1924" s="134"/>
    </row>
    <row r="1925" spans="5:10" x14ac:dyDescent="0.3">
      <c r="E1925" s="3"/>
      <c r="F1925" s="3"/>
      <c r="G1925" s="143"/>
      <c r="H1925" s="134"/>
      <c r="I1925" s="135"/>
      <c r="J1925" s="134"/>
    </row>
    <row r="1926" spans="5:10" x14ac:dyDescent="0.3">
      <c r="E1926" s="3"/>
      <c r="F1926" s="3"/>
      <c r="G1926" s="143"/>
      <c r="H1926" s="134"/>
      <c r="I1926" s="135"/>
      <c r="J1926" s="134"/>
    </row>
    <row r="1927" spans="5:10" x14ac:dyDescent="0.3">
      <c r="E1927" s="3"/>
      <c r="F1927" s="3"/>
      <c r="G1927" s="143"/>
      <c r="H1927" s="134"/>
      <c r="I1927" s="135"/>
      <c r="J1927" s="134"/>
    </row>
    <row r="1928" spans="5:10" x14ac:dyDescent="0.3">
      <c r="E1928" s="3"/>
      <c r="F1928" s="3"/>
      <c r="G1928" s="143"/>
      <c r="H1928" s="134"/>
      <c r="I1928" s="135"/>
      <c r="J1928" s="134"/>
    </row>
    <row r="1929" spans="5:10" x14ac:dyDescent="0.3">
      <c r="E1929" s="3"/>
      <c r="F1929" s="3"/>
      <c r="G1929" s="143"/>
      <c r="H1929" s="134"/>
      <c r="I1929" s="135"/>
      <c r="J1929" s="134"/>
    </row>
    <row r="1930" spans="5:10" x14ac:dyDescent="0.3">
      <c r="E1930" s="3"/>
      <c r="F1930" s="3"/>
      <c r="G1930" s="143"/>
      <c r="H1930" s="134"/>
      <c r="I1930" s="135"/>
      <c r="J1930" s="134"/>
    </row>
    <row r="1931" spans="5:10" x14ac:dyDescent="0.3">
      <c r="E1931" s="3"/>
      <c r="F1931" s="3"/>
      <c r="G1931" s="143"/>
      <c r="H1931" s="134"/>
      <c r="I1931" s="135"/>
      <c r="J1931" s="134"/>
    </row>
    <row r="1932" spans="5:10" x14ac:dyDescent="0.3">
      <c r="E1932" s="3"/>
      <c r="F1932" s="3"/>
      <c r="G1932" s="143"/>
      <c r="H1932" s="134"/>
      <c r="I1932" s="135"/>
      <c r="J1932" s="134"/>
    </row>
    <row r="1933" spans="5:10" x14ac:dyDescent="0.3">
      <c r="E1933" s="3"/>
      <c r="F1933" s="3"/>
      <c r="G1933" s="143"/>
      <c r="H1933" s="134"/>
      <c r="I1933" s="135"/>
      <c r="J1933" s="134"/>
    </row>
    <row r="1934" spans="5:10" x14ac:dyDescent="0.3">
      <c r="E1934" s="3"/>
      <c r="F1934" s="3"/>
      <c r="G1934" s="143"/>
      <c r="H1934" s="134"/>
      <c r="I1934" s="135"/>
      <c r="J1934" s="134"/>
    </row>
    <row r="1935" spans="5:10" x14ac:dyDescent="0.3">
      <c r="E1935" s="3"/>
      <c r="F1935" s="3"/>
      <c r="G1935" s="143"/>
      <c r="H1935" s="134"/>
      <c r="I1935" s="135"/>
      <c r="J1935" s="134"/>
    </row>
    <row r="1936" spans="5:10" x14ac:dyDescent="0.3">
      <c r="E1936" s="3"/>
      <c r="F1936" s="3"/>
      <c r="G1936" s="143"/>
      <c r="H1936" s="134"/>
      <c r="I1936" s="135"/>
      <c r="J1936" s="134"/>
    </row>
    <row r="1937" spans="5:10" x14ac:dyDescent="0.3">
      <c r="E1937" s="3"/>
      <c r="F1937" s="3"/>
      <c r="G1937" s="143"/>
      <c r="H1937" s="134"/>
      <c r="I1937" s="135"/>
      <c r="J1937" s="134"/>
    </row>
    <row r="1938" spans="5:10" x14ac:dyDescent="0.3">
      <c r="E1938" s="3"/>
      <c r="F1938" s="3"/>
      <c r="G1938" s="143"/>
      <c r="H1938" s="134"/>
      <c r="I1938" s="135"/>
      <c r="J1938" s="134"/>
    </row>
    <row r="1939" spans="5:10" x14ac:dyDescent="0.3">
      <c r="E1939" s="3"/>
      <c r="F1939" s="3"/>
      <c r="G1939" s="143"/>
      <c r="H1939" s="134"/>
      <c r="I1939" s="135"/>
      <c r="J1939" s="134"/>
    </row>
    <row r="1940" spans="5:10" x14ac:dyDescent="0.3">
      <c r="E1940" s="3"/>
      <c r="F1940" s="3"/>
      <c r="G1940" s="143"/>
      <c r="H1940" s="134"/>
      <c r="I1940" s="135"/>
      <c r="J1940" s="134"/>
    </row>
    <row r="1941" spans="5:10" x14ac:dyDescent="0.3">
      <c r="E1941" s="3"/>
      <c r="F1941" s="3"/>
      <c r="G1941" s="143"/>
      <c r="H1941" s="134"/>
      <c r="I1941" s="135"/>
      <c r="J1941" s="134"/>
    </row>
    <row r="1942" spans="5:10" x14ac:dyDescent="0.3">
      <c r="E1942" s="3"/>
      <c r="F1942" s="3"/>
      <c r="G1942" s="143"/>
      <c r="H1942" s="134"/>
      <c r="I1942" s="135"/>
      <c r="J1942" s="134"/>
    </row>
    <row r="1943" spans="5:10" x14ac:dyDescent="0.3">
      <c r="E1943" s="3"/>
      <c r="F1943" s="3"/>
      <c r="G1943" s="143"/>
      <c r="H1943" s="134"/>
      <c r="I1943" s="135"/>
      <c r="J1943" s="134"/>
    </row>
    <row r="1944" spans="5:10" x14ac:dyDescent="0.3">
      <c r="E1944" s="3"/>
      <c r="F1944" s="3"/>
      <c r="G1944" s="143"/>
      <c r="H1944" s="134"/>
      <c r="I1944" s="135"/>
      <c r="J1944" s="134"/>
    </row>
    <row r="1945" spans="5:10" x14ac:dyDescent="0.3">
      <c r="E1945" s="3"/>
      <c r="F1945" s="3"/>
      <c r="G1945" s="143"/>
      <c r="H1945" s="134"/>
      <c r="I1945" s="135"/>
      <c r="J1945" s="134"/>
    </row>
    <row r="1946" spans="5:10" x14ac:dyDescent="0.3">
      <c r="E1946" s="3"/>
      <c r="F1946" s="3"/>
      <c r="G1946" s="143"/>
      <c r="H1946" s="134"/>
      <c r="I1946" s="135"/>
      <c r="J1946" s="134"/>
    </row>
    <row r="1947" spans="5:10" x14ac:dyDescent="0.3">
      <c r="E1947" s="3"/>
      <c r="F1947" s="3"/>
      <c r="G1947" s="143"/>
      <c r="H1947" s="134"/>
      <c r="I1947" s="135"/>
      <c r="J1947" s="134"/>
    </row>
    <row r="1948" spans="5:10" x14ac:dyDescent="0.3">
      <c r="E1948" s="3"/>
      <c r="F1948" s="3"/>
      <c r="G1948" s="143"/>
      <c r="H1948" s="134"/>
      <c r="I1948" s="135"/>
      <c r="J1948" s="134"/>
    </row>
    <row r="1949" spans="5:10" x14ac:dyDescent="0.3">
      <c r="E1949" s="3"/>
      <c r="F1949" s="3"/>
      <c r="G1949" s="143"/>
      <c r="H1949" s="134"/>
      <c r="I1949" s="135"/>
      <c r="J1949" s="134"/>
    </row>
    <row r="1950" spans="5:10" x14ac:dyDescent="0.3">
      <c r="E1950" s="3"/>
      <c r="F1950" s="3"/>
      <c r="G1950" s="143"/>
      <c r="H1950" s="134"/>
      <c r="I1950" s="135"/>
      <c r="J1950" s="134"/>
    </row>
    <row r="1951" spans="5:10" x14ac:dyDescent="0.3">
      <c r="E1951" s="3"/>
      <c r="F1951" s="3"/>
      <c r="G1951" s="143"/>
      <c r="H1951" s="134"/>
      <c r="I1951" s="135"/>
      <c r="J1951" s="134"/>
    </row>
    <row r="1952" spans="5:10" x14ac:dyDescent="0.3">
      <c r="E1952" s="3"/>
      <c r="F1952" s="3"/>
      <c r="G1952" s="143"/>
      <c r="H1952" s="134"/>
      <c r="I1952" s="135"/>
      <c r="J1952" s="134"/>
    </row>
    <row r="1953" spans="5:10" x14ac:dyDescent="0.3">
      <c r="E1953" s="3"/>
      <c r="F1953" s="3"/>
      <c r="G1953" s="143"/>
      <c r="H1953" s="134"/>
      <c r="I1953" s="135"/>
      <c r="J1953" s="134"/>
    </row>
    <row r="1954" spans="5:10" x14ac:dyDescent="0.3">
      <c r="E1954" s="3"/>
      <c r="F1954" s="3"/>
      <c r="G1954" s="143"/>
      <c r="H1954" s="134"/>
      <c r="I1954" s="135"/>
      <c r="J1954" s="134"/>
    </row>
    <row r="1955" spans="5:10" x14ac:dyDescent="0.3">
      <c r="E1955" s="3"/>
      <c r="F1955" s="3"/>
      <c r="G1955" s="143"/>
      <c r="H1955" s="134"/>
      <c r="I1955" s="135"/>
      <c r="J1955" s="134"/>
    </row>
    <row r="1956" spans="5:10" x14ac:dyDescent="0.3">
      <c r="E1956" s="3"/>
      <c r="F1956" s="3"/>
      <c r="G1956" s="143"/>
      <c r="H1956" s="134"/>
      <c r="I1956" s="135"/>
      <c r="J1956" s="134"/>
    </row>
    <row r="1957" spans="5:10" x14ac:dyDescent="0.3">
      <c r="E1957" s="3"/>
      <c r="F1957" s="3"/>
      <c r="G1957" s="143"/>
      <c r="H1957" s="134"/>
      <c r="I1957" s="135"/>
      <c r="J1957" s="134"/>
    </row>
    <row r="1958" spans="5:10" x14ac:dyDescent="0.3">
      <c r="E1958" s="3"/>
      <c r="F1958" s="3"/>
      <c r="G1958" s="143"/>
      <c r="H1958" s="134"/>
      <c r="I1958" s="135"/>
      <c r="J1958" s="134"/>
    </row>
    <row r="1959" spans="5:10" x14ac:dyDescent="0.3">
      <c r="E1959" s="3"/>
      <c r="F1959" s="3"/>
      <c r="G1959" s="143"/>
      <c r="H1959" s="134"/>
      <c r="I1959" s="135"/>
      <c r="J1959" s="134"/>
    </row>
    <row r="1960" spans="5:10" x14ac:dyDescent="0.3">
      <c r="E1960" s="3"/>
      <c r="F1960" s="3"/>
      <c r="G1960" s="143"/>
      <c r="H1960" s="134"/>
      <c r="I1960" s="135"/>
      <c r="J1960" s="134"/>
    </row>
    <row r="1961" spans="5:10" x14ac:dyDescent="0.3">
      <c r="E1961" s="3"/>
      <c r="F1961" s="3"/>
      <c r="G1961" s="143"/>
      <c r="H1961" s="134"/>
      <c r="I1961" s="135"/>
      <c r="J1961" s="134"/>
    </row>
    <row r="1962" spans="5:10" x14ac:dyDescent="0.3">
      <c r="E1962" s="3"/>
      <c r="F1962" s="3"/>
      <c r="G1962" s="143"/>
      <c r="H1962" s="134"/>
      <c r="I1962" s="135"/>
      <c r="J1962" s="134"/>
    </row>
    <row r="1963" spans="5:10" x14ac:dyDescent="0.3">
      <c r="E1963" s="3"/>
      <c r="F1963" s="3"/>
      <c r="G1963" s="143"/>
      <c r="H1963" s="134"/>
      <c r="I1963" s="135"/>
      <c r="J1963" s="134"/>
    </row>
    <row r="1964" spans="5:10" x14ac:dyDescent="0.3">
      <c r="E1964" s="3"/>
      <c r="F1964" s="3"/>
      <c r="G1964" s="143"/>
      <c r="H1964" s="134"/>
      <c r="I1964" s="135"/>
      <c r="J1964" s="134"/>
    </row>
    <row r="1965" spans="5:10" x14ac:dyDescent="0.3">
      <c r="E1965" s="3"/>
      <c r="F1965" s="3"/>
      <c r="G1965" s="143"/>
      <c r="H1965" s="134"/>
      <c r="I1965" s="135"/>
      <c r="J1965" s="134"/>
    </row>
    <row r="1966" spans="5:10" x14ac:dyDescent="0.3">
      <c r="E1966" s="3"/>
      <c r="F1966" s="3"/>
      <c r="G1966" s="143"/>
      <c r="H1966" s="134"/>
      <c r="I1966" s="135"/>
      <c r="J1966" s="134"/>
    </row>
    <row r="1967" spans="5:10" x14ac:dyDescent="0.3">
      <c r="E1967" s="3"/>
      <c r="F1967" s="3"/>
      <c r="G1967" s="143"/>
      <c r="H1967" s="134"/>
      <c r="I1967" s="135"/>
      <c r="J1967" s="134"/>
    </row>
    <row r="1968" spans="5:10" x14ac:dyDescent="0.3">
      <c r="E1968" s="3"/>
      <c r="F1968" s="3"/>
      <c r="G1968" s="143"/>
      <c r="H1968" s="134"/>
      <c r="I1968" s="135"/>
      <c r="J1968" s="134"/>
    </row>
    <row r="1969" spans="5:10" x14ac:dyDescent="0.3">
      <c r="E1969" s="3"/>
      <c r="F1969" s="3"/>
      <c r="G1969" s="143"/>
      <c r="H1969" s="134"/>
      <c r="I1969" s="135"/>
      <c r="J1969" s="134"/>
    </row>
    <row r="1970" spans="5:10" x14ac:dyDescent="0.3">
      <c r="E1970" s="3"/>
      <c r="F1970" s="3"/>
      <c r="G1970" s="143"/>
      <c r="H1970" s="134"/>
      <c r="I1970" s="135"/>
      <c r="J1970" s="134"/>
    </row>
    <row r="1971" spans="5:10" x14ac:dyDescent="0.3">
      <c r="E1971" s="3"/>
      <c r="F1971" s="3"/>
      <c r="G1971" s="143"/>
      <c r="H1971" s="134"/>
      <c r="I1971" s="135"/>
      <c r="J1971" s="134"/>
    </row>
    <row r="1972" spans="5:10" x14ac:dyDescent="0.3">
      <c r="E1972" s="3"/>
      <c r="F1972" s="3"/>
      <c r="G1972" s="143"/>
      <c r="H1972" s="134"/>
      <c r="I1972" s="135"/>
      <c r="J1972" s="134"/>
    </row>
    <row r="1973" spans="5:10" x14ac:dyDescent="0.3">
      <c r="E1973" s="3"/>
      <c r="F1973" s="3"/>
      <c r="G1973" s="143"/>
      <c r="H1973" s="134"/>
      <c r="I1973" s="135"/>
      <c r="J1973" s="134"/>
    </row>
    <row r="1974" spans="5:10" x14ac:dyDescent="0.3">
      <c r="E1974" s="3"/>
      <c r="F1974" s="3"/>
      <c r="G1974" s="143"/>
      <c r="H1974" s="134"/>
      <c r="I1974" s="135"/>
      <c r="J1974" s="134"/>
    </row>
    <row r="1975" spans="5:10" x14ac:dyDescent="0.3">
      <c r="E1975" s="3"/>
      <c r="F1975" s="3"/>
      <c r="G1975" s="143"/>
      <c r="H1975" s="134"/>
      <c r="I1975" s="135"/>
      <c r="J1975" s="134"/>
    </row>
    <row r="1976" spans="5:10" x14ac:dyDescent="0.3">
      <c r="E1976" s="3"/>
      <c r="F1976" s="3"/>
      <c r="G1976" s="143"/>
      <c r="H1976" s="134"/>
      <c r="I1976" s="135"/>
      <c r="J1976" s="134"/>
    </row>
    <row r="1977" spans="5:10" x14ac:dyDescent="0.3">
      <c r="E1977" s="3"/>
      <c r="F1977" s="3"/>
      <c r="G1977" s="143"/>
      <c r="H1977" s="134"/>
      <c r="I1977" s="135"/>
      <c r="J1977" s="134"/>
    </row>
    <row r="1978" spans="5:10" x14ac:dyDescent="0.3">
      <c r="E1978" s="3"/>
      <c r="F1978" s="3"/>
      <c r="G1978" s="143"/>
      <c r="H1978" s="134"/>
      <c r="I1978" s="135"/>
      <c r="J1978" s="134"/>
    </row>
    <row r="1979" spans="5:10" x14ac:dyDescent="0.3">
      <c r="E1979" s="3"/>
      <c r="F1979" s="3"/>
      <c r="G1979" s="143"/>
      <c r="H1979" s="134"/>
      <c r="I1979" s="135"/>
      <c r="J1979" s="134"/>
    </row>
    <row r="1980" spans="5:10" x14ac:dyDescent="0.3">
      <c r="E1980" s="3"/>
      <c r="F1980" s="3"/>
      <c r="G1980" s="143"/>
      <c r="H1980" s="134"/>
      <c r="I1980" s="135"/>
      <c r="J1980" s="134"/>
    </row>
    <row r="1981" spans="5:10" x14ac:dyDescent="0.3">
      <c r="E1981" s="3"/>
      <c r="F1981" s="3"/>
      <c r="G1981" s="143"/>
      <c r="H1981" s="134"/>
      <c r="I1981" s="135"/>
      <c r="J1981" s="134"/>
    </row>
    <row r="1982" spans="5:10" x14ac:dyDescent="0.3">
      <c r="E1982" s="3"/>
      <c r="F1982" s="3"/>
      <c r="G1982" s="143"/>
      <c r="H1982" s="134"/>
      <c r="I1982" s="135"/>
      <c r="J1982" s="134"/>
    </row>
    <row r="1983" spans="5:10" x14ac:dyDescent="0.3">
      <c r="E1983" s="3"/>
      <c r="F1983" s="3"/>
      <c r="G1983" s="143"/>
      <c r="H1983" s="134"/>
      <c r="I1983" s="135"/>
      <c r="J1983" s="134"/>
    </row>
    <row r="1984" spans="5:10" x14ac:dyDescent="0.3">
      <c r="E1984" s="3"/>
      <c r="F1984" s="3"/>
      <c r="G1984" s="143"/>
      <c r="H1984" s="134"/>
      <c r="I1984" s="135"/>
      <c r="J1984" s="134"/>
    </row>
    <row r="1985" spans="5:10" x14ac:dyDescent="0.3">
      <c r="E1985" s="3"/>
      <c r="F1985" s="3"/>
      <c r="G1985" s="143"/>
      <c r="H1985" s="134"/>
      <c r="I1985" s="135"/>
      <c r="J1985" s="134"/>
    </row>
    <row r="1986" spans="5:10" x14ac:dyDescent="0.3">
      <c r="E1986" s="3"/>
      <c r="F1986" s="3"/>
      <c r="G1986" s="143"/>
      <c r="H1986" s="134"/>
      <c r="I1986" s="135"/>
      <c r="J1986" s="134"/>
    </row>
    <row r="1987" spans="5:10" x14ac:dyDescent="0.3">
      <c r="E1987" s="3"/>
      <c r="F1987" s="3"/>
      <c r="G1987" s="143"/>
      <c r="H1987" s="134"/>
      <c r="I1987" s="135"/>
      <c r="J1987" s="134"/>
    </row>
    <row r="1988" spans="5:10" x14ac:dyDescent="0.3">
      <c r="E1988" s="3"/>
      <c r="F1988" s="3"/>
      <c r="G1988" s="143"/>
      <c r="H1988" s="134"/>
      <c r="I1988" s="135"/>
      <c r="J1988" s="134"/>
    </row>
    <row r="1989" spans="5:10" x14ac:dyDescent="0.3">
      <c r="E1989" s="3"/>
      <c r="F1989" s="3"/>
      <c r="G1989" s="143"/>
      <c r="H1989" s="134"/>
      <c r="I1989" s="135"/>
      <c r="J1989" s="134"/>
    </row>
    <row r="1990" spans="5:10" x14ac:dyDescent="0.3">
      <c r="E1990" s="3"/>
      <c r="F1990" s="3"/>
      <c r="G1990" s="143"/>
      <c r="H1990" s="134"/>
      <c r="I1990" s="135"/>
      <c r="J1990" s="134"/>
    </row>
    <row r="1991" spans="5:10" x14ac:dyDescent="0.3">
      <c r="E1991" s="3"/>
      <c r="F1991" s="3"/>
      <c r="G1991" s="143"/>
      <c r="H1991" s="134"/>
      <c r="I1991" s="135"/>
      <c r="J1991" s="134"/>
    </row>
    <row r="1992" spans="5:10" x14ac:dyDescent="0.3">
      <c r="E1992" s="3"/>
      <c r="F1992" s="3"/>
      <c r="G1992" s="143"/>
      <c r="H1992" s="134"/>
      <c r="I1992" s="135"/>
      <c r="J1992" s="134"/>
    </row>
    <row r="1993" spans="5:10" x14ac:dyDescent="0.3">
      <c r="E1993" s="3"/>
      <c r="F1993" s="3"/>
      <c r="G1993" s="143"/>
      <c r="H1993" s="134"/>
      <c r="I1993" s="135"/>
      <c r="J1993" s="134"/>
    </row>
    <row r="1994" spans="5:10" x14ac:dyDescent="0.3">
      <c r="E1994" s="3"/>
      <c r="F1994" s="3"/>
      <c r="G1994" s="143"/>
      <c r="H1994" s="134"/>
      <c r="I1994" s="135"/>
      <c r="J1994" s="134"/>
    </row>
    <row r="1995" spans="5:10" x14ac:dyDescent="0.3">
      <c r="E1995" s="3"/>
      <c r="F1995" s="3"/>
      <c r="G1995" s="143"/>
      <c r="H1995" s="134"/>
      <c r="I1995" s="135"/>
      <c r="J1995" s="134"/>
    </row>
    <row r="1996" spans="5:10" x14ac:dyDescent="0.3">
      <c r="E1996" s="3"/>
      <c r="F1996" s="3"/>
      <c r="G1996" s="143"/>
      <c r="H1996" s="134"/>
      <c r="I1996" s="135"/>
      <c r="J1996" s="134"/>
    </row>
    <row r="1997" spans="5:10" x14ac:dyDescent="0.3">
      <c r="E1997" s="3"/>
      <c r="F1997" s="3"/>
      <c r="G1997" s="143"/>
      <c r="H1997" s="134"/>
      <c r="I1997" s="135"/>
      <c r="J1997" s="134"/>
    </row>
    <row r="1998" spans="5:10" x14ac:dyDescent="0.3">
      <c r="E1998" s="3"/>
      <c r="F1998" s="3"/>
      <c r="G1998" s="143"/>
      <c r="H1998" s="134"/>
      <c r="I1998" s="135"/>
      <c r="J1998" s="134"/>
    </row>
    <row r="1999" spans="5:10" x14ac:dyDescent="0.3">
      <c r="E1999" s="3"/>
      <c r="F1999" s="3"/>
      <c r="G1999" s="143"/>
      <c r="H1999" s="134"/>
      <c r="I1999" s="135"/>
      <c r="J1999" s="134"/>
    </row>
    <row r="2000" spans="5:10" x14ac:dyDescent="0.3">
      <c r="E2000" s="3"/>
      <c r="F2000" s="3"/>
      <c r="G2000" s="143"/>
      <c r="H2000" s="134"/>
      <c r="I2000" s="135"/>
      <c r="J2000" s="134"/>
    </row>
    <row r="2001" spans="5:10" x14ac:dyDescent="0.3">
      <c r="E2001" s="3"/>
      <c r="F2001" s="3"/>
      <c r="G2001" s="143"/>
      <c r="H2001" s="134"/>
      <c r="I2001" s="135"/>
      <c r="J2001" s="134"/>
    </row>
    <row r="2002" spans="5:10" x14ac:dyDescent="0.3">
      <c r="E2002" s="3"/>
      <c r="F2002" s="3"/>
      <c r="G2002" s="143"/>
      <c r="H2002" s="134"/>
      <c r="I2002" s="135"/>
      <c r="J2002" s="134"/>
    </row>
    <row r="2003" spans="5:10" x14ac:dyDescent="0.3">
      <c r="E2003" s="3"/>
      <c r="F2003" s="3"/>
      <c r="G2003" s="143"/>
      <c r="H2003" s="134"/>
      <c r="I2003" s="135"/>
      <c r="J2003" s="134"/>
    </row>
    <row r="2004" spans="5:10" x14ac:dyDescent="0.3">
      <c r="E2004" s="3"/>
      <c r="F2004" s="3"/>
      <c r="G2004" s="143"/>
      <c r="H2004" s="134"/>
      <c r="I2004" s="135"/>
      <c r="J2004" s="134"/>
    </row>
    <row r="2005" spans="5:10" x14ac:dyDescent="0.3">
      <c r="E2005" s="3"/>
      <c r="F2005" s="3"/>
      <c r="G2005" s="143"/>
      <c r="H2005" s="134"/>
      <c r="I2005" s="135"/>
      <c r="J2005" s="134"/>
    </row>
    <row r="2006" spans="5:10" x14ac:dyDescent="0.3">
      <c r="E2006" s="3"/>
      <c r="F2006" s="3"/>
      <c r="G2006" s="143"/>
      <c r="H2006" s="134"/>
      <c r="I2006" s="135"/>
      <c r="J2006" s="134"/>
    </row>
    <row r="2007" spans="5:10" x14ac:dyDescent="0.3">
      <c r="E2007" s="3"/>
      <c r="F2007" s="3"/>
      <c r="G2007" s="143"/>
      <c r="H2007" s="134"/>
      <c r="I2007" s="135"/>
      <c r="J2007" s="134"/>
    </row>
    <row r="2008" spans="5:10" x14ac:dyDescent="0.3">
      <c r="E2008" s="3"/>
      <c r="F2008" s="3"/>
      <c r="G2008" s="143"/>
      <c r="H2008" s="134"/>
      <c r="I2008" s="135"/>
      <c r="J2008" s="134"/>
    </row>
    <row r="2009" spans="5:10" x14ac:dyDescent="0.3">
      <c r="E2009" s="3"/>
      <c r="F2009" s="3"/>
      <c r="G2009" s="143"/>
      <c r="H2009" s="134"/>
      <c r="I2009" s="135"/>
      <c r="J2009" s="134"/>
    </row>
    <row r="2010" spans="5:10" x14ac:dyDescent="0.3">
      <c r="E2010" s="3"/>
      <c r="F2010" s="3"/>
      <c r="G2010" s="143"/>
      <c r="H2010" s="134"/>
      <c r="I2010" s="135"/>
      <c r="J2010" s="134"/>
    </row>
    <row r="2011" spans="5:10" x14ac:dyDescent="0.3">
      <c r="E2011" s="3"/>
      <c r="F2011" s="3"/>
      <c r="G2011" s="143"/>
      <c r="H2011" s="134"/>
      <c r="I2011" s="135"/>
      <c r="J2011" s="134"/>
    </row>
    <row r="2012" spans="5:10" x14ac:dyDescent="0.3">
      <c r="E2012" s="3"/>
      <c r="F2012" s="3"/>
      <c r="G2012" s="143"/>
      <c r="H2012" s="134"/>
      <c r="I2012" s="135"/>
      <c r="J2012" s="134"/>
    </row>
    <row r="2013" spans="5:10" x14ac:dyDescent="0.3">
      <c r="E2013" s="3"/>
      <c r="F2013" s="3"/>
      <c r="G2013" s="143"/>
      <c r="H2013" s="134"/>
      <c r="I2013" s="135"/>
      <c r="J2013" s="134"/>
    </row>
    <row r="2014" spans="5:10" x14ac:dyDescent="0.3">
      <c r="E2014" s="3"/>
      <c r="F2014" s="3"/>
      <c r="G2014" s="143"/>
      <c r="H2014" s="134"/>
      <c r="I2014" s="135"/>
      <c r="J2014" s="134"/>
    </row>
    <row r="2015" spans="5:10" x14ac:dyDescent="0.3">
      <c r="E2015" s="3"/>
      <c r="F2015" s="3"/>
      <c r="G2015" s="143"/>
      <c r="H2015" s="134"/>
      <c r="I2015" s="135"/>
      <c r="J2015" s="134"/>
    </row>
    <row r="2016" spans="5:10" x14ac:dyDescent="0.3">
      <c r="E2016" s="3"/>
      <c r="F2016" s="3"/>
      <c r="G2016" s="143"/>
      <c r="H2016" s="134"/>
      <c r="I2016" s="135"/>
      <c r="J2016" s="134"/>
    </row>
    <row r="2017" spans="5:10" x14ac:dyDescent="0.3">
      <c r="E2017" s="3"/>
      <c r="F2017" s="3"/>
      <c r="G2017" s="143"/>
      <c r="H2017" s="134"/>
      <c r="I2017" s="135"/>
      <c r="J2017" s="134"/>
    </row>
    <row r="2018" spans="5:10" x14ac:dyDescent="0.3">
      <c r="E2018" s="3"/>
      <c r="F2018" s="3"/>
      <c r="G2018" s="143"/>
      <c r="H2018" s="134"/>
      <c r="I2018" s="135"/>
      <c r="J2018" s="134"/>
    </row>
    <row r="2019" spans="5:10" x14ac:dyDescent="0.3">
      <c r="E2019" s="3"/>
      <c r="F2019" s="3"/>
      <c r="G2019" s="143"/>
      <c r="H2019" s="134"/>
      <c r="I2019" s="135"/>
      <c r="J2019" s="134"/>
    </row>
    <row r="2020" spans="5:10" x14ac:dyDescent="0.3">
      <c r="E2020" s="3"/>
      <c r="F2020" s="3"/>
      <c r="G2020" s="143"/>
      <c r="H2020" s="134"/>
      <c r="I2020" s="135"/>
      <c r="J2020" s="134"/>
    </row>
    <row r="2021" spans="5:10" x14ac:dyDescent="0.3">
      <c r="E2021" s="3"/>
      <c r="F2021" s="3"/>
      <c r="G2021" s="143"/>
      <c r="H2021" s="134"/>
      <c r="I2021" s="135"/>
      <c r="J2021" s="134"/>
    </row>
    <row r="2022" spans="5:10" x14ac:dyDescent="0.3">
      <c r="E2022" s="3"/>
      <c r="F2022" s="3"/>
      <c r="G2022" s="143"/>
      <c r="H2022" s="134"/>
      <c r="I2022" s="135"/>
      <c r="J2022" s="134"/>
    </row>
    <row r="2023" spans="5:10" x14ac:dyDescent="0.3">
      <c r="E2023" s="3"/>
      <c r="F2023" s="3"/>
      <c r="G2023" s="143"/>
      <c r="H2023" s="134"/>
      <c r="I2023" s="135"/>
      <c r="J2023" s="134"/>
    </row>
    <row r="2024" spans="5:10" x14ac:dyDescent="0.3">
      <c r="E2024" s="3"/>
      <c r="F2024" s="3"/>
      <c r="G2024" s="143"/>
      <c r="H2024" s="134"/>
      <c r="I2024" s="135"/>
      <c r="J2024" s="134"/>
    </row>
    <row r="2025" spans="5:10" x14ac:dyDescent="0.3">
      <c r="E2025" s="3"/>
      <c r="F2025" s="3"/>
      <c r="G2025" s="143"/>
      <c r="H2025" s="134"/>
      <c r="I2025" s="135"/>
      <c r="J2025" s="134"/>
    </row>
    <row r="2026" spans="5:10" x14ac:dyDescent="0.3">
      <c r="E2026" s="3"/>
      <c r="F2026" s="3"/>
      <c r="G2026" s="143"/>
      <c r="H2026" s="134"/>
      <c r="I2026" s="135"/>
      <c r="J2026" s="134"/>
    </row>
    <row r="2027" spans="5:10" x14ac:dyDescent="0.3">
      <c r="E2027" s="3"/>
      <c r="F2027" s="3"/>
      <c r="G2027" s="143"/>
      <c r="H2027" s="134"/>
      <c r="I2027" s="135"/>
      <c r="J2027" s="134"/>
    </row>
    <row r="2028" spans="5:10" x14ac:dyDescent="0.3">
      <c r="E2028" s="3"/>
      <c r="F2028" s="3"/>
      <c r="G2028" s="143"/>
      <c r="H2028" s="134"/>
      <c r="I2028" s="135"/>
      <c r="J2028" s="134"/>
    </row>
    <row r="2029" spans="5:10" x14ac:dyDescent="0.3">
      <c r="E2029" s="3"/>
      <c r="F2029" s="3"/>
      <c r="G2029" s="143"/>
      <c r="H2029" s="134"/>
      <c r="I2029" s="135"/>
      <c r="J2029" s="134"/>
    </row>
    <row r="2030" spans="5:10" x14ac:dyDescent="0.3">
      <c r="E2030" s="3"/>
      <c r="F2030" s="3"/>
      <c r="G2030" s="143"/>
      <c r="H2030" s="134"/>
      <c r="I2030" s="135"/>
      <c r="J2030" s="134"/>
    </row>
    <row r="2031" spans="5:10" x14ac:dyDescent="0.3">
      <c r="E2031" s="3"/>
      <c r="F2031" s="3"/>
      <c r="G2031" s="143"/>
      <c r="H2031" s="134"/>
      <c r="I2031" s="135"/>
      <c r="J2031" s="134"/>
    </row>
    <row r="2032" spans="5:10" x14ac:dyDescent="0.3">
      <c r="E2032" s="3"/>
      <c r="F2032" s="3"/>
      <c r="G2032" s="143"/>
      <c r="H2032" s="134"/>
      <c r="I2032" s="135"/>
      <c r="J2032" s="134"/>
    </row>
    <row r="2033" spans="5:10" x14ac:dyDescent="0.3">
      <c r="E2033" s="3"/>
      <c r="F2033" s="3"/>
      <c r="G2033" s="143"/>
      <c r="H2033" s="134"/>
      <c r="I2033" s="135"/>
      <c r="J2033" s="134"/>
    </row>
    <row r="2034" spans="5:10" x14ac:dyDescent="0.3">
      <c r="E2034" s="3"/>
      <c r="F2034" s="3"/>
      <c r="G2034" s="143"/>
      <c r="H2034" s="134"/>
      <c r="I2034" s="135"/>
      <c r="J2034" s="134"/>
    </row>
    <row r="2035" spans="5:10" x14ac:dyDescent="0.3">
      <c r="E2035" s="3"/>
      <c r="F2035" s="3"/>
      <c r="G2035" s="143"/>
      <c r="H2035" s="134"/>
      <c r="I2035" s="135"/>
      <c r="J2035" s="134"/>
    </row>
    <row r="2036" spans="5:10" x14ac:dyDescent="0.3">
      <c r="E2036" s="3"/>
      <c r="F2036" s="3"/>
      <c r="G2036" s="143"/>
      <c r="H2036" s="134"/>
      <c r="I2036" s="135"/>
      <c r="J2036" s="134"/>
    </row>
    <row r="2037" spans="5:10" x14ac:dyDescent="0.3">
      <c r="E2037" s="3"/>
      <c r="F2037" s="3"/>
      <c r="G2037" s="143"/>
      <c r="H2037" s="134"/>
      <c r="I2037" s="135"/>
      <c r="J2037" s="134"/>
    </row>
    <row r="2038" spans="5:10" x14ac:dyDescent="0.3">
      <c r="E2038" s="3"/>
      <c r="F2038" s="3"/>
      <c r="G2038" s="143"/>
      <c r="H2038" s="134"/>
      <c r="I2038" s="135"/>
      <c r="J2038" s="134"/>
    </row>
    <row r="2039" spans="5:10" x14ac:dyDescent="0.3">
      <c r="E2039" s="3"/>
      <c r="F2039" s="3"/>
      <c r="G2039" s="143"/>
      <c r="H2039" s="134"/>
      <c r="I2039" s="135"/>
      <c r="J2039" s="134"/>
    </row>
    <row r="2040" spans="5:10" x14ac:dyDescent="0.3">
      <c r="E2040" s="3"/>
      <c r="F2040" s="3"/>
      <c r="G2040" s="143"/>
      <c r="H2040" s="134"/>
      <c r="I2040" s="135"/>
      <c r="J2040" s="134"/>
    </row>
    <row r="2041" spans="5:10" x14ac:dyDescent="0.3">
      <c r="E2041" s="3"/>
      <c r="F2041" s="3"/>
      <c r="G2041" s="143"/>
      <c r="H2041" s="134"/>
      <c r="I2041" s="135"/>
      <c r="J2041" s="134"/>
    </row>
    <row r="2042" spans="5:10" x14ac:dyDescent="0.3">
      <c r="E2042" s="3"/>
      <c r="F2042" s="3"/>
      <c r="G2042" s="143"/>
      <c r="H2042" s="134"/>
      <c r="I2042" s="135"/>
      <c r="J2042" s="134"/>
    </row>
    <row r="2043" spans="5:10" x14ac:dyDescent="0.3">
      <c r="E2043" s="3"/>
      <c r="F2043" s="3"/>
      <c r="G2043" s="143"/>
      <c r="H2043" s="134"/>
      <c r="I2043" s="135"/>
      <c r="J2043" s="134"/>
    </row>
    <row r="2044" spans="5:10" x14ac:dyDescent="0.3">
      <c r="E2044" s="3"/>
      <c r="F2044" s="3"/>
      <c r="G2044" s="143"/>
      <c r="H2044" s="134"/>
      <c r="I2044" s="135"/>
      <c r="J2044" s="134"/>
    </row>
    <row r="2045" spans="5:10" x14ac:dyDescent="0.3">
      <c r="E2045" s="3"/>
      <c r="F2045" s="3"/>
      <c r="G2045" s="143"/>
      <c r="H2045" s="134"/>
      <c r="I2045" s="135"/>
      <c r="J2045" s="134"/>
    </row>
    <row r="2046" spans="5:10" x14ac:dyDescent="0.3">
      <c r="E2046" s="3"/>
      <c r="F2046" s="3"/>
      <c r="G2046" s="143"/>
      <c r="H2046" s="134"/>
      <c r="I2046" s="135"/>
      <c r="J2046" s="134"/>
    </row>
    <row r="2047" spans="5:10" x14ac:dyDescent="0.3">
      <c r="E2047" s="3"/>
      <c r="F2047" s="3"/>
      <c r="G2047" s="143"/>
      <c r="H2047" s="134"/>
      <c r="I2047" s="135"/>
      <c r="J2047" s="134"/>
    </row>
    <row r="2048" spans="5:10" x14ac:dyDescent="0.3">
      <c r="E2048" s="3"/>
      <c r="F2048" s="3"/>
      <c r="G2048" s="143"/>
      <c r="H2048" s="134"/>
      <c r="I2048" s="135"/>
      <c r="J2048" s="134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5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2025-03-31T05:34:26Z</cp:lastPrinted>
  <dcterms:created xsi:type="dcterms:W3CDTF">2019-10-27T17:16:26Z</dcterms:created>
  <dcterms:modified xsi:type="dcterms:W3CDTF">2025-11-21T10:43:51Z</dcterms:modified>
</cp:coreProperties>
</file>